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darak-pc\D\Audit Reports\2019-20\Hardoli Paper Mills Limited\Finan1920\Bsheet\"/>
    </mc:Choice>
  </mc:AlternateContent>
  <bookViews>
    <workbookView xWindow="0" yWindow="0" windowWidth="22260" windowHeight="12645" firstSheet="3" activeTab="3"/>
  </bookViews>
  <sheets>
    <sheet name="Result 1" sheetId="15" state="hidden" r:id="rId1"/>
    <sheet name="Result 2" sheetId="16" state="hidden" r:id="rId2"/>
    <sheet name="Result 3" sheetId="17" state="hidden" r:id="rId3"/>
    <sheet name="Cash Flow Statement" sheetId="14" r:id="rId4"/>
    <sheet name="BSPL" sheetId="1" r:id="rId5"/>
    <sheet name="Depreciation Co. Act" sheetId="3" r:id="rId6"/>
    <sheet name="Pivot" sheetId="2" r:id="rId7"/>
    <sheet name="Closing Stock Valuation" sheetId="4" state="hidden" r:id="rId8"/>
    <sheet name="CLOSING STOCK 31-03-20" sheetId="5" state="hidden" r:id="rId9"/>
    <sheet name="Computation" sheetId="6" state="hidden" r:id="rId10"/>
    <sheet name="Deffered Tax" sheetId="7" state="hidden" r:id="rId11"/>
    <sheet name="Depreciation as per Income Tax" sheetId="8" state="hidden" r:id="rId12"/>
    <sheet name="Term Loan" sheetId="10" state="hidden" r:id="rId13"/>
    <sheet name="TB MAIN" sheetId="11" state="hidden" r:id="rId14"/>
    <sheet name="TB31032020" sheetId="12" state="hidden" r:id="rId15"/>
    <sheet name="TB310320119" sheetId="13" state="hidden" r:id="rId16"/>
    <sheet name="Sheet1" sheetId="9" state="hidden"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s>
  <definedNames>
    <definedName name="\a">#REF!</definedName>
    <definedName name="\B">#REF!</definedName>
    <definedName name="\C">#REF!</definedName>
    <definedName name="\D">#REF!</definedName>
    <definedName name="\E">#REF!</definedName>
    <definedName name="\F">#REF!</definedName>
    <definedName name="\G">#REF!</definedName>
    <definedName name="\I">#REF!</definedName>
    <definedName name="\J">#REF!</definedName>
    <definedName name="\M">#REF!</definedName>
    <definedName name="\P">#REF!</definedName>
    <definedName name="\Q">#REF!</definedName>
    <definedName name="\S">#REF!</definedName>
    <definedName name="\T">#REF!</definedName>
    <definedName name="\U">#REF!</definedName>
    <definedName name="\Z">#REF!</definedName>
    <definedName name="___cha1">#REF!</definedName>
    <definedName name="___cha2">#REF!</definedName>
    <definedName name="___cha3">#REF!</definedName>
    <definedName name="___cha4">#REF!</definedName>
    <definedName name="___cha5">#REF!</definedName>
    <definedName name="___cha6">#REF!</definedName>
    <definedName name="___crc1">[1]combined!$B$176:$H$232</definedName>
    <definedName name="___crc2">[1]combined!$B$236:$H$301</definedName>
    <definedName name="___crc3">[1]combined!$B$329:$H$387</definedName>
    <definedName name="___GRP1">'[2]BS 590'!$B$313:$G$386</definedName>
    <definedName name="___GRP2">'[2]BS 590'!$B$388:$G$427</definedName>
    <definedName name="___GRP3">'[3]BS&amp;PLA'!#REF!</definedName>
    <definedName name="___GRP4">'[3]BS&amp;PLA'!#REF!</definedName>
    <definedName name="___sch1">'[2]BS 590'!$B$125:$H$165</definedName>
    <definedName name="___sch2">'[2]BS 590'!$B$166:$H$193</definedName>
    <definedName name="___sch3">'[2]BS 590'!$B$194:$H$231</definedName>
    <definedName name="___sch4">'[2]BS 590'!$B$233:$H$280</definedName>
    <definedName name="___sch5">'[2]BS 590'!$B$281:$H$312</definedName>
    <definedName name="___STK1">#REF!</definedName>
    <definedName name="___STK2">#REF!</definedName>
    <definedName name="___STK3">#REF!</definedName>
    <definedName name="__123Graph_A" hidden="1">'[4]TRIAL BALANCE'!#REF!</definedName>
    <definedName name="__123Graph_B" hidden="1">'[4]TRIAL BALANCE'!#REF!</definedName>
    <definedName name="__123Graph_D" hidden="1">'[5]Anx-M'!$B$671:$B$671</definedName>
    <definedName name="__123Graph_X" hidden="1">'[4]TRIAL BALANCE'!#REF!</definedName>
    <definedName name="__1RANGE_1">#REF!</definedName>
    <definedName name="__cha1">#REF!</definedName>
    <definedName name="__cha2">#REF!</definedName>
    <definedName name="__cha3">#REF!</definedName>
    <definedName name="__cha4">#REF!</definedName>
    <definedName name="__cha5">#REF!</definedName>
    <definedName name="__cha6">#REF!</definedName>
    <definedName name="__col1">#REF!</definedName>
    <definedName name="__col10">#REF!</definedName>
    <definedName name="__col11">#REF!</definedName>
    <definedName name="__col12">#REF!</definedName>
    <definedName name="__col13">#REF!</definedName>
    <definedName name="__col2">#REF!</definedName>
    <definedName name="__col3">#REF!</definedName>
    <definedName name="__col4">#REF!</definedName>
    <definedName name="__col5">#REF!</definedName>
    <definedName name="__col6">#REF!</definedName>
    <definedName name="__col7">#REF!</definedName>
    <definedName name="__col8">#REF!</definedName>
    <definedName name="__col9">#REF!</definedName>
    <definedName name="__crc1">[1]combined!$B$176:$H$232</definedName>
    <definedName name="__crc2">[1]combined!$B$236:$H$301</definedName>
    <definedName name="__crc3">[1]combined!$B$329:$H$387</definedName>
    <definedName name="__GRP1">'[2]BS 590'!$B$313:$G$386</definedName>
    <definedName name="__GRP2">'[2]BS 590'!$B$388:$G$427</definedName>
    <definedName name="__GRP3">'[3]BS&amp;PLA'!#REF!</definedName>
    <definedName name="__GRP4">'[3]BS&amp;PLA'!#REF!</definedName>
    <definedName name="__MAR9091">'[6]TRIAL BALANCE'!#REF!</definedName>
    <definedName name="__sch1">'[2]BS 590'!$B$125:$H$165</definedName>
    <definedName name="__sch2">'[2]BS 590'!$B$166:$H$193</definedName>
    <definedName name="__sch3">'[2]BS 590'!$B$194:$H$231</definedName>
    <definedName name="__sch4">'[2]BS 590'!$B$233:$H$280</definedName>
    <definedName name="__sch5">'[2]BS 590'!$B$281:$H$312</definedName>
    <definedName name="__STK1">#REF!</definedName>
    <definedName name="__STK2">#REF!</definedName>
    <definedName name="__STK3">#REF!</definedName>
    <definedName name="_01_UNIT1">#REF!</definedName>
    <definedName name="_01_UNIT2">#REF!</definedName>
    <definedName name="_01A__GP___DP">#REF!</definedName>
    <definedName name="_01B__DEP_TX_BK">#REF!</definedName>
    <definedName name="_02A__INTEREST">#REF!</definedName>
    <definedName name="_03_115JA_2A_B">#REF!</definedName>
    <definedName name="_03_SUM_1AX">#REF!</definedName>
    <definedName name="_03_SUM_1BX">#REF!</definedName>
    <definedName name="_04_80HHC_1A">#REF!</definedName>
    <definedName name="_04_80HHC_IIA">#REF!</definedName>
    <definedName name="_06__INTERUNIT">#REF!</definedName>
    <definedName name="_07__80IA">#REF!</definedName>
    <definedName name="_08__80I">#REF!</definedName>
    <definedName name="_09_TAX_SUMMARY">#REF!</definedName>
    <definedName name="_1">#REF!</definedName>
    <definedName name="_14A">[7]HONOTES!#REF!</definedName>
    <definedName name="_1RANGE_1">#REF!</definedName>
    <definedName name="_2">[7]HONOTES!#REF!</definedName>
    <definedName name="_6">[7]HONOTES!#REF!</definedName>
    <definedName name="_a_">#REF!</definedName>
    <definedName name="_BSE500">[8]Sheet1!$B$1:$B$500</definedName>
    <definedName name="_cha1">#REF!</definedName>
    <definedName name="_cha2">#REF!</definedName>
    <definedName name="_cha3">#REF!</definedName>
    <definedName name="_cha4">#REF!</definedName>
    <definedName name="_cha5">#REF!</definedName>
    <definedName name="_cha6">#REF!</definedName>
    <definedName name="_col1">#REF!</definedName>
    <definedName name="_col10">#REF!</definedName>
    <definedName name="_col11">#REF!</definedName>
    <definedName name="_col12">#REF!</definedName>
    <definedName name="_col13">#REF!</definedName>
    <definedName name="_col2">#REF!</definedName>
    <definedName name="_col3">#REF!</definedName>
    <definedName name="_col4">#REF!</definedName>
    <definedName name="_col5">#REF!</definedName>
    <definedName name="_col6">#REF!</definedName>
    <definedName name="_col7">#REF!</definedName>
    <definedName name="_col8">#REF!</definedName>
    <definedName name="_col9">#REF!</definedName>
    <definedName name="_crc1">[1]combined!$B$176:$H$232</definedName>
    <definedName name="_crc2">[1]combined!$B$236:$H$301</definedName>
    <definedName name="_crc3">[1]combined!$B$329:$H$387</definedName>
    <definedName name="_DAT1">#REF!</definedName>
    <definedName name="_DAT10">#REF!</definedName>
    <definedName name="_DAT11">#REF!</definedName>
    <definedName name="_DAT12">#REF!</definedName>
    <definedName name="_DAT13">#REF!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Fill" hidden="1">#REF!</definedName>
    <definedName name="_xlnm._FilterDatabase" localSheetId="13" hidden="1">'TB MAIN'!$A$4:$Q$544</definedName>
    <definedName name="_xlnm._FilterDatabase" localSheetId="14" hidden="1">TB31032020!$A$11:$I$415</definedName>
    <definedName name="_GRP1">'[2]BS 590'!$B$313:$G$386</definedName>
    <definedName name="_GRP2">'[2]BS 590'!$B$388:$G$427</definedName>
    <definedName name="_GRP3">'[3]BS&amp;PLA'!#REF!</definedName>
    <definedName name="_GRP4">'[3]BS&amp;PLA'!#REF!</definedName>
    <definedName name="_Inv1">#REF!</definedName>
    <definedName name="_Inv2">#REF!</definedName>
    <definedName name="_Key1" hidden="1">#REF!</definedName>
    <definedName name="_Key2" hidden="1">[9]ASSET_ADD!#REF!</definedName>
    <definedName name="_MAR9091">'[10]TRIAL BALANCE'!#REF!</definedName>
    <definedName name="_Mar90911">'[6]TRIAL BALANCE'!#REF!</definedName>
    <definedName name="_Order1" hidden="1">255</definedName>
    <definedName name="_Order2" hidden="1">255</definedName>
    <definedName name="_Parse_Out" hidden="1">#REF!</definedName>
    <definedName name="_PG3">[11]DEPIT979!#REF!</definedName>
    <definedName name="_sch1">'[2]BS 590'!$B$125:$H$165</definedName>
    <definedName name="_sch2">'[2]BS 590'!$B$166:$H$193</definedName>
    <definedName name="_sch3">'[2]BS 590'!$B$194:$H$231</definedName>
    <definedName name="_sch4">'[2]BS 590'!$B$233:$H$280</definedName>
    <definedName name="_sch5">'[2]BS 590'!$B$281:$H$312</definedName>
    <definedName name="_SCH6">#REF!</definedName>
    <definedName name="_Sort" hidden="1">#REF!</definedName>
    <definedName name="_STK1">#REF!</definedName>
    <definedName name="_STK2">#REF!</definedName>
    <definedName name="_STK3">#REF!</definedName>
    <definedName name="_WA0005">'[12]TB WORLI'!#REF!</definedName>
    <definedName name="_WA0015">'[12]TB WORLI'!#REF!</definedName>
    <definedName name="_WA00212">'[12]TB WORLI'!#REF!</definedName>
    <definedName name="_WA00223">'[12]TB WORLI'!#REF!</definedName>
    <definedName name="_WA00231">'[12]TB WORLI'!#REF!</definedName>
    <definedName name="_WA00237">'[12]TB WORLI'!#REF!</definedName>
    <definedName name="_WA0026">'[12]TB WORLI'!#REF!</definedName>
    <definedName name="_WA00273">'[12]TB WORLI'!#REF!</definedName>
    <definedName name="_WA00288">'[12]TB WORLI'!#REF!</definedName>
    <definedName name="_WA00291">'[12]TB WORLI'!#REF!</definedName>
    <definedName name="_WA00294">'[12]TB WORLI'!#REF!</definedName>
    <definedName name="_WA00295">'[12]TB WORLI'!#REF!</definedName>
    <definedName name="_WA00298">'[12]TB WORLI'!#REF!</definedName>
    <definedName name="_WA00301">'[12]TB WORLI'!#REF!</definedName>
    <definedName name="_WA00302">'[12]TB WORLI'!#REF!</definedName>
    <definedName name="_WA00306">'[12]TB WORLI'!#REF!</definedName>
    <definedName name="_WA00307">'[12]TB WORLI'!#REF!</definedName>
    <definedName name="_WA00308">'[12]TB WORLI'!#REF!</definedName>
    <definedName name="_WA00310">'[12]TB WORLI'!#REF!</definedName>
    <definedName name="_WA00318">'[12]TB WORLI'!#REF!</definedName>
    <definedName name="_WA00321">'[12]TB WORLI'!#REF!</definedName>
    <definedName name="_WA00324">'[12]TB WORLI'!#REF!</definedName>
    <definedName name="_WA00325">'[12]TB WORLI'!#REF!</definedName>
    <definedName name="_WA00326">'[12]TB WORLI'!#REF!</definedName>
    <definedName name="_WA00327">'[12]TB WORLI'!#REF!</definedName>
    <definedName name="_WA00328">'[12]TB WORLI'!#REF!</definedName>
    <definedName name="_WA00329">'[12]TB WORLI'!#REF!</definedName>
    <definedName name="_WA00330">'[12]TB WORLI'!#REF!</definedName>
    <definedName name="_WA00332">'[12]TB WORLI'!#REF!</definedName>
    <definedName name="_WA00337">'[12]TB WORLI'!#REF!</definedName>
    <definedName name="_WA00338">'[12]TB WORLI'!#REF!</definedName>
    <definedName name="_WA00361">'[12]TB WORLI'!#REF!</definedName>
    <definedName name="_WA00362">'[12]TB WORLI'!#REF!</definedName>
    <definedName name="_WA00367">'[12]TB WORLI'!#REF!</definedName>
    <definedName name="_WA00368">'[12]TB WORLI'!#REF!</definedName>
    <definedName name="_WA00369">'[12]TB WORLI'!#REF!</definedName>
    <definedName name="_WA00370">'[12]TB WORLI'!#REF!</definedName>
    <definedName name="_WA00372">'[12]TB WORLI'!#REF!</definedName>
    <definedName name="_WA00373">'[12]TB WORLI'!#REF!</definedName>
    <definedName name="_WA00374">'[12]TB WORLI'!#REF!</definedName>
    <definedName name="_WA00375">'[12]TB WORLI'!#REF!</definedName>
    <definedName name="_WA00376">'[12]TB WORLI'!#REF!</definedName>
    <definedName name="_WA00377">'[12]TB WORLI'!#REF!</definedName>
    <definedName name="_WA00378">'[12]TB WORLI'!#REF!</definedName>
    <definedName name="_WA00379">'[12]TB WORLI'!#REF!</definedName>
    <definedName name="_WA0038">'[12]TB WORLI'!#REF!</definedName>
    <definedName name="_WA00380">'[12]TB WORLI'!#REF!</definedName>
    <definedName name="_WA00381">'[12]TB WORLI'!#REF!</definedName>
    <definedName name="_WA00382">'[12]TB WORLI'!#REF!</definedName>
    <definedName name="_WA00386">'[12]TB WORLI'!#REF!</definedName>
    <definedName name="_WA00387">'[12]TB WORLI'!#REF!</definedName>
    <definedName name="_WA00388">'[12]TB WORLI'!#REF!</definedName>
    <definedName name="_WA00389">'[12]TB WORLI'!#REF!</definedName>
    <definedName name="_WA00390">'[12]TB WORLI'!#REF!</definedName>
    <definedName name="_WA00392">'[12]TB WORLI'!#REF!</definedName>
    <definedName name="_WA00397">'[12]TB WORLI'!#REF!</definedName>
    <definedName name="_WA00400">'[12]TB WORLI'!#REF!</definedName>
    <definedName name="_WA00402">'[12]TB WORLI'!#REF!</definedName>
    <definedName name="_WA00420">'[12]TB WORLI'!#REF!</definedName>
    <definedName name="_WA00434">'[12]TB WORLI'!#REF!</definedName>
    <definedName name="_WA00435">'[12]TB WORLI'!#REF!</definedName>
    <definedName name="_WA00436">'[12]TB WORLI'!#REF!</definedName>
    <definedName name="_WA00437">'[12]TB WORLI'!#REF!</definedName>
    <definedName name="_WA00439">'[12]TB WORLI'!#REF!</definedName>
    <definedName name="_WA00440">'[12]TB WORLI'!#REF!</definedName>
    <definedName name="_WA00441">'[12]TB WORLI'!#REF!</definedName>
    <definedName name="_WA00442">'[12]TB WORLI'!#REF!</definedName>
    <definedName name="_WA00444">'[12]TB WORLI'!#REF!</definedName>
    <definedName name="_WA00445">'[12]TB WORLI'!#REF!</definedName>
    <definedName name="_WA00446">'[12]TB WORLI'!#REF!</definedName>
    <definedName name="_WA00447">'[12]TB WORLI'!#REF!</definedName>
    <definedName name="_WA00452">'[12]TB WORLI'!#REF!</definedName>
    <definedName name="_WA00454">'[12]TB WORLI'!#REF!</definedName>
    <definedName name="_WA0049">'[12]TB WORLI'!#REF!</definedName>
    <definedName name="_WA0065">'[12]TB WORLI'!#REF!</definedName>
    <definedName name="_WA0131">'[12]TB WORLI'!#REF!</definedName>
    <definedName name="_WA0142">'[12]TB WORLI'!#REF!</definedName>
    <definedName name="_WDR_">#REF!</definedName>
    <definedName name="_WE00250">'[12]TB WORLI'!#REF!</definedName>
    <definedName name="_WE00251">'[12]TB WORLI'!#REF!</definedName>
    <definedName name="_WE00281">'[12]TB WORLI'!#REF!</definedName>
    <definedName name="_WE00289">'[12]TB WORLI'!#REF!</definedName>
    <definedName name="_WE0159">'[12]TB WORLI'!#REF!</definedName>
    <definedName name="_WE0160">'[12]TB WORLI'!#REF!</definedName>
    <definedName name="_WE0211">'[12]TB WORLI'!#REF!</definedName>
    <definedName name="_WE0219">'[12]TB WORLI'!#REF!</definedName>
    <definedName name="_WE0225">'[12]TB WORLI'!#REF!</definedName>
    <definedName name="_WE0232">'[12]TB WORLI'!#REF!</definedName>
    <definedName name="_WE0243">'[12]TB WORLI'!#REF!</definedName>
    <definedName name="_WI00296">'[12]TB WORLI'!#REF!</definedName>
    <definedName name="_WI00298">'[12]TB WORLI'!#REF!</definedName>
    <definedName name="_WI00319">'[12]TB WORLI'!#REF!</definedName>
    <definedName name="_WI00320">'[12]TB WORLI'!#REF!</definedName>
    <definedName name="_WI00321">'[12]TB WORLI'!#REF!</definedName>
    <definedName name="_WI0256">'[12]TB WORLI'!#REF!</definedName>
    <definedName name="_WI0286">'[12]TB WORLI'!#REF!</definedName>
    <definedName name="_WL00382">'[12]TB WORLI'!#REF!</definedName>
    <definedName name="_WL00623">'[12]TB WORLI'!#REF!</definedName>
    <definedName name="_WL00655">'[12]TB WORLI'!#REF!</definedName>
    <definedName name="_WL00664">'[12]TB WORLI'!#REF!</definedName>
    <definedName name="_WL0333">'[12]TB WORLI'!#REF!</definedName>
    <definedName name="_WL0342">'[12]TB WORLI'!#REF!</definedName>
    <definedName name="_WL0355">'[12]TB WORLI'!#REF!</definedName>
    <definedName name="a">#REF!</definedName>
    <definedName name="A0002_">'[13]TB APJ'!$B$233</definedName>
    <definedName name="A0005_">'[13]TB APJ'!$B$7</definedName>
    <definedName name="A0007_">'[13]TB APJ'!$B$8</definedName>
    <definedName name="A0008_">'[13]TB APJ'!$B$9</definedName>
    <definedName name="A00167_">'[13]TB APJ'!#REF!</definedName>
    <definedName name="A00168_">'[13]TB APJ'!#REF!</definedName>
    <definedName name="A00169_">[14]tb!$B$8</definedName>
    <definedName name="A00183_">'[13]TB APJ'!#REF!</definedName>
    <definedName name="A0019_">'[13]TB APJ'!$B$10</definedName>
    <definedName name="A00191_">'[13]TB APJ'!$B$246</definedName>
    <definedName name="A00195_">'[13]TB APJ'!#REF!</definedName>
    <definedName name="A00203_">'[13]TB APJ'!#REF!</definedName>
    <definedName name="A00207_">'[13]TB APJ'!#REF!</definedName>
    <definedName name="A00211_">'[13]TB APJ'!#REF!</definedName>
    <definedName name="A00212_">'[13]TB APJ'!$B$247</definedName>
    <definedName name="A00214_">'[13]TB APJ'!#REF!</definedName>
    <definedName name="A00215_">'[12]TB APJ'!#REF!</definedName>
    <definedName name="A00223_">[14]tb!$B$10</definedName>
    <definedName name="A00225_">'[13]TB APJ'!$B$11</definedName>
    <definedName name="A00226_">'[13]TB APJ'!$B$248</definedName>
    <definedName name="A00242_">'[13]TB APJ'!$B$12</definedName>
    <definedName name="A00247_">'[13]TB APJ'!#REF!</definedName>
    <definedName name="A00252_">'[13]TB APJ'!$B$330</definedName>
    <definedName name="A00256_">'[13]TB APJ'!$B$249</definedName>
    <definedName name="A00257_">'[13]TB APJ'!$B$306</definedName>
    <definedName name="A00258_">'[13]TB APJ'!#REF!</definedName>
    <definedName name="A0026_">'[13]TB APJ'!$B$13</definedName>
    <definedName name="A00260_">'[12]TB APJ'!#REF!</definedName>
    <definedName name="A00261_">'[12]TB APJ'!#REF!</definedName>
    <definedName name="A00264_">'[12]TB APJ'!#REF!</definedName>
    <definedName name="A00266_">'[13]TB APJ'!#REF!</definedName>
    <definedName name="A00268_">'[13]TB APJ'!#REF!</definedName>
    <definedName name="A00270_">'[13]TB APJ'!$B$331</definedName>
    <definedName name="A00271_">[14]tb!$B$16</definedName>
    <definedName name="A00273_">'[13]TB APJ'!$B$16</definedName>
    <definedName name="A00274_">'[13]TB APJ'!$B$17</definedName>
    <definedName name="A0028_">'[13]TB APJ'!$B$332</definedName>
    <definedName name="A00280_">'[13]TB APJ'!#REF!</definedName>
    <definedName name="A00281_">'[13]TB APJ'!#REF!</definedName>
    <definedName name="A00283_">'[13]TB APJ'!#REF!</definedName>
    <definedName name="A00290_">'[13]TB APJ'!#REF!</definedName>
    <definedName name="A00291_">'[13]TB APJ'!$B$250</definedName>
    <definedName name="A00293_">'[13]TB APJ'!$B$333</definedName>
    <definedName name="A00294_">'[13]TB APJ'!#REF!</definedName>
    <definedName name="A00295_">'[13]TB APJ'!#REF!</definedName>
    <definedName name="A00296_">'[13]TB APJ'!#REF!</definedName>
    <definedName name="A00297_">'[13]TB APJ'!#REF!</definedName>
    <definedName name="A00300_">'[12]TB APJ'!#REF!</definedName>
    <definedName name="A00301_">'[13]TB APJ'!#REF!</definedName>
    <definedName name="A00302_">'[13]TB APJ'!#REF!</definedName>
    <definedName name="A00303_">[14]tb!$B$25</definedName>
    <definedName name="A00305_">'[13]TB APJ'!#REF!</definedName>
    <definedName name="A00306_">'[12]TB WORLI'!#REF!</definedName>
    <definedName name="A00314_">'[13]TB APJ'!#REF!</definedName>
    <definedName name="A00315_">'[13]TB APJ'!#REF!</definedName>
    <definedName name="A00317_">'[13]TB APJ'!#REF!</definedName>
    <definedName name="A00318_">'[13]TB APJ'!#REF!</definedName>
    <definedName name="A00319_">'[13]TB APJ'!$B$307</definedName>
    <definedName name="A00320_">'[13]TB APJ'!$B$335</definedName>
    <definedName name="A00321_">'[13]TB APJ'!#REF!</definedName>
    <definedName name="A00322_">'[13]TB APJ'!$B$336</definedName>
    <definedName name="A00323_">'[12]TB APJ'!#REF!</definedName>
    <definedName name="A00324_">'[13]TB APJ'!#REF!</definedName>
    <definedName name="A00325_">'[13]TB APJ'!#REF!</definedName>
    <definedName name="A00326_">'[13]TB APJ'!$B$337</definedName>
    <definedName name="A00327_">'[13]TB APJ'!$B$338</definedName>
    <definedName name="A00330_">'[13]TB APJ'!#REF!</definedName>
    <definedName name="A00331_">'[13]TB APJ'!$B$308</definedName>
    <definedName name="A00333_">'[13]TB APJ'!#REF!</definedName>
    <definedName name="A00334_">'[13]TB APJ'!#REF!</definedName>
    <definedName name="A00335_">'[13]TB APJ'!#REF!</definedName>
    <definedName name="A00338_">'[13]TB APJ'!#REF!</definedName>
    <definedName name="A00340_">'[13]TB APJ'!#REF!</definedName>
    <definedName name="A00341_">'[13]TB APJ'!#REF!</definedName>
    <definedName name="A00342_">'[13]TB APJ'!$B$339</definedName>
    <definedName name="A00344_">'[13]TB APJ'!#REF!</definedName>
    <definedName name="A00345_">'[13]TB APJ'!#REF!</definedName>
    <definedName name="A00346_">'[13]TB APJ'!#REF!</definedName>
    <definedName name="A00348_">'[13]TB APJ'!#REF!</definedName>
    <definedName name="A00349_">'[13]TB APJ'!#REF!</definedName>
    <definedName name="A00350_">'[13]TB APJ'!$B$340</definedName>
    <definedName name="A00351_">'[13]TB APJ'!#REF!</definedName>
    <definedName name="A00352_">'[13]TB APJ'!$B$20</definedName>
    <definedName name="A00353_">'[13]TB APJ'!#REF!</definedName>
    <definedName name="A00354_">'[13]TB APJ'!$B$341</definedName>
    <definedName name="A00355_">'[13]TB APJ'!$B$342</definedName>
    <definedName name="A00357_">'[13]TB APJ'!$B$343</definedName>
    <definedName name="A00358_">'[13]TB APJ'!$B$344</definedName>
    <definedName name="A00359_">'[13]TB APJ'!$B$254</definedName>
    <definedName name="A00362_">'[13]TB APJ'!#REF!</definedName>
    <definedName name="A00366_">'[13]TB APJ'!#REF!</definedName>
    <definedName name="A00367_">'[13]TB APJ'!$B$21</definedName>
    <definedName name="A00368_">'[13]TB APJ'!$B$22</definedName>
    <definedName name="A00369_">'[13]TB APJ'!#REF!</definedName>
    <definedName name="A00370_">'[13]TB APJ'!$B$23</definedName>
    <definedName name="A00372_">'[13]TB APJ'!$B$235</definedName>
    <definedName name="A00376_">'[13]TB APJ'!#REF!</definedName>
    <definedName name="A00379_">'[13]TB APJ'!#REF!</definedName>
    <definedName name="A00381_">'[13]TB APJ'!#REF!</definedName>
    <definedName name="A00383_">'[13]TB APJ'!#REF!</definedName>
    <definedName name="A00386_">'[13]TB APJ'!#REF!</definedName>
    <definedName name="A00387_">'[13]TB APJ'!#REF!</definedName>
    <definedName name="A00388_">'[13]TB APJ'!#REF!</definedName>
    <definedName name="A00389_">'[13]TB APJ'!#REF!</definedName>
    <definedName name="A00391_">'[13]TB APJ'!#REF!</definedName>
    <definedName name="A00392_">'[13]TB APJ'!#REF!</definedName>
    <definedName name="A00393_">'[13]TB APJ'!#REF!</definedName>
    <definedName name="A00394_">'[13]TB APJ'!#REF!</definedName>
    <definedName name="A00395_">'[13]TB APJ'!#REF!</definedName>
    <definedName name="A00396_">'[13]TB APJ'!#REF!</definedName>
    <definedName name="A00397_">'[13]TB APJ'!$B$351</definedName>
    <definedName name="A00398_">'[13]TB APJ'!#REF!</definedName>
    <definedName name="A0040_">'[13]TB APJ'!#REF!</definedName>
    <definedName name="A00400_">'[13]TB APJ'!#REF!</definedName>
    <definedName name="A00402_">'[13]TB APJ'!$B$309</definedName>
    <definedName name="A00403_">'[13]TB APJ'!$B$25</definedName>
    <definedName name="A00404_">'[13]TB APJ'!#REF!</definedName>
    <definedName name="A00405_">'[13]TB APJ'!$B$26</definedName>
    <definedName name="A00407_">'[13]TB APJ'!#REF!</definedName>
    <definedName name="A00409_">'[13]TB APJ'!$B$256</definedName>
    <definedName name="A00410_">'[13]TB APJ'!#REF!</definedName>
    <definedName name="A00411_">'[13]TB APJ'!#REF!</definedName>
    <definedName name="A00412_">'[13]TB APJ'!#REF!</definedName>
    <definedName name="A00413_">'[13]TB APJ'!#REF!</definedName>
    <definedName name="A00416_">'[13]TB APJ'!#REF!</definedName>
    <definedName name="A00420_">'[13]TB APJ'!#REF!</definedName>
    <definedName name="A00421_">'[13]TB APJ'!#REF!</definedName>
    <definedName name="A00422_">'[13]TB APJ'!#REF!</definedName>
    <definedName name="A00423_">'[13]TB APJ'!$B$27</definedName>
    <definedName name="A00424_">'[13]TB APJ'!$B$28</definedName>
    <definedName name="A00425_">'[13]TB APJ'!#REF!</definedName>
    <definedName name="A00426_">'[13]TB APJ'!$B$353</definedName>
    <definedName name="A00427_">'[13]TB APJ'!$B$258</definedName>
    <definedName name="A00430_">'[13]TB APJ'!$B$29</definedName>
    <definedName name="A00433_">'[13]TB APJ'!#REF!</definedName>
    <definedName name="A00434_">'[13]TB APJ'!$B$260</definedName>
    <definedName name="A00435_">'[13]TB APJ'!#REF!</definedName>
    <definedName name="A00436_">'[13]TB APJ'!#REF!</definedName>
    <definedName name="A00437_">'[13]TB APJ'!#REF!</definedName>
    <definedName name="A0044_">'[13]TB APJ'!#REF!</definedName>
    <definedName name="A00441_">'[13]TB APJ'!#REF!</definedName>
    <definedName name="A00442_">'[13]TB APJ'!$B$354</definedName>
    <definedName name="A00443_">'[13]TB APJ'!$B$261</definedName>
    <definedName name="A00444_">'[13]TB APJ'!#REF!</definedName>
    <definedName name="A00445_">'[13]TB APJ'!$B$355</definedName>
    <definedName name="A00446_">'[13]TB APJ'!$B$31</definedName>
    <definedName name="A00448_">'[13]TB APJ'!#REF!</definedName>
    <definedName name="A0045_">[14]tb!$B$92</definedName>
    <definedName name="A00453_">'[13]TB APJ'!$B$32</definedName>
    <definedName name="A00457_">'[13]TB APJ'!$B$34</definedName>
    <definedName name="A0048_">'[13]TB APJ'!#REF!</definedName>
    <definedName name="A0049_">'[12]TB WORLI'!#REF!</definedName>
    <definedName name="A0050_">'[13]TB APJ'!$B$36</definedName>
    <definedName name="A0052_">'[13]TB APJ'!#REF!</definedName>
    <definedName name="A0053_">'[13]TB APJ'!$B$37</definedName>
    <definedName name="A0057_">'[13]TB APJ'!$B$38</definedName>
    <definedName name="A0060_">'[13]TB APJ'!$B$39</definedName>
    <definedName name="A0061_">'[13]TB APJ'!#REF!</definedName>
    <definedName name="A0062_">'[13]TB APJ'!$B$40</definedName>
    <definedName name="A0064_">[14]tb!$B$101</definedName>
    <definedName name="A0065_">'[13]TB APJ'!$B$357</definedName>
    <definedName name="A0066_">'[13]TB APJ'!$B$41</definedName>
    <definedName name="A0067_">'[13]TB APJ'!$B$42</definedName>
    <definedName name="A0069_">'[12]TB APJ'!#REF!</definedName>
    <definedName name="A0070_">'[13]TB APJ'!$B$43</definedName>
    <definedName name="A0071_">'[13]TB APJ'!$B$44</definedName>
    <definedName name="A0072_">'[13]TB APJ'!$B$45</definedName>
    <definedName name="A0074_">'[13]TB APJ'!$B$46</definedName>
    <definedName name="A0075_">'[13]TB APJ'!$B$425</definedName>
    <definedName name="A0078_">'[13]TB APJ'!#REF!</definedName>
    <definedName name="A0080_">'[13]TB APJ'!$B$47</definedName>
    <definedName name="A0081_">'[13]TB APJ'!$B$48</definedName>
    <definedName name="A0082_">'[13]TB APJ'!#REF!</definedName>
    <definedName name="A0084_">'[13]TB APJ'!$B$49</definedName>
    <definedName name="A0085_">'[13]TB APJ'!$B$241</definedName>
    <definedName name="A0087_">'[13]TB APJ'!$B$359</definedName>
    <definedName name="A0088_">'[13]TB APJ'!$B$50</definedName>
    <definedName name="A0096_">'[13]TB APJ'!#REF!</definedName>
    <definedName name="A0100_">'[13]TB APJ'!$B$51</definedName>
    <definedName name="A0101_">'[13]TB APJ'!#REF!</definedName>
    <definedName name="A0103_">'[13]TB APJ'!$B$268</definedName>
    <definedName name="A0114_">'[13]TB APJ'!$B$52</definedName>
    <definedName name="A0115_">'[13]TB APJ'!$B$53</definedName>
    <definedName name="A0116_">'[13]TB APJ'!$B$269</definedName>
    <definedName name="A0118_">'[13]TB APJ'!$B$54</definedName>
    <definedName name="A0119_">'[13]TB APJ'!$B$55</definedName>
    <definedName name="A0126_">'[13]TB APJ'!#REF!</definedName>
    <definedName name="A0127_">'[13]TB APJ'!#REF!</definedName>
    <definedName name="A0129_">'[13]TB APJ'!#REF!</definedName>
    <definedName name="A0141_">'[13]TB APJ'!$B$56</definedName>
    <definedName name="A0142_">'[13]TB APJ'!$B$57</definedName>
    <definedName name="A0146_">'[12]TB APJ'!#REF!</definedName>
    <definedName name="A0154_">'[13]TB APJ'!$B$58</definedName>
    <definedName name="A0155_">'[13]TB APJ'!#REF!</definedName>
    <definedName name="A10002_">'[13]TB APJ'!$B$59</definedName>
    <definedName name="A10007_">'[13]TB APJ'!$B$312</definedName>
    <definedName name="A10019_">'[12]TB APJ'!$B$48</definedName>
    <definedName name="A10037_">'[12]TB APJ'!#REF!</definedName>
    <definedName name="A10041_">'[12]TB APJ'!#REF!</definedName>
    <definedName name="A10066_">'[12]TB APJ'!#REF!</definedName>
    <definedName name="A10069_">'[12]TB APJ'!#REF!</definedName>
    <definedName name="A10087_">'[12]TB APJ'!#REF!</definedName>
    <definedName name="A10104_">'[13]TB APJ'!$B$315</definedName>
    <definedName name="A10106_">'[12]TB APJ'!#REF!</definedName>
    <definedName name="A10112_">'[13]TB APJ'!$B$60</definedName>
    <definedName name="A10117_">'[13]TB APJ'!$B$61</definedName>
    <definedName name="A10119_">'[13]TB APJ'!$B$426</definedName>
    <definedName name="A10122_">'[13]TB APJ'!$B$63</definedName>
    <definedName name="A10123_">'[13]TB APJ'!$B$64</definedName>
    <definedName name="A10124_">'[13]TB APJ'!$B$65</definedName>
    <definedName name="AA">#REF!</definedName>
    <definedName name="AA0005_">'[12]TB WORLI'!#REF!</definedName>
    <definedName name="AA0015_">'[12]TB WORLI'!#REF!</definedName>
    <definedName name="AA00212_">'[12]TB WORLI'!#REF!</definedName>
    <definedName name="AA00223_">'[12]TB WORLI'!#REF!</definedName>
    <definedName name="AA00231_">'[12]TB WORLI'!#REF!</definedName>
    <definedName name="AA00237_">'[12]TB WORLI'!#REF!</definedName>
    <definedName name="AA0026_">'[12]TB WORLI'!#REF!</definedName>
    <definedName name="AA00273_">'[12]TB WORLI'!#REF!</definedName>
    <definedName name="AA00288_">'[12]TB WORLI'!#REF!</definedName>
    <definedName name="AA00291_">'[12]TB WORLI'!#REF!</definedName>
    <definedName name="AA00294_">'[12]TB WORLI'!#REF!</definedName>
    <definedName name="AA00295_">'[12]TB WORLI'!#REF!</definedName>
    <definedName name="AA00298_">'[12]TB WORLI'!#REF!</definedName>
    <definedName name="AA00301_">'[12]TB WORLI'!#REF!</definedName>
    <definedName name="AA00302_">'[12]TB WORLI'!#REF!</definedName>
    <definedName name="AA00306_">'[12]TB WORLI'!#REF!</definedName>
    <definedName name="AA00307_">'[12]TB WORLI'!#REF!</definedName>
    <definedName name="AA00308_">'[12]TB WORLI'!#REF!</definedName>
    <definedName name="AA00310_">'[12]TB WORLI'!#REF!</definedName>
    <definedName name="AA00318_">'[12]TB WORLI'!#REF!</definedName>
    <definedName name="AA00321_">'[12]TB WORLI'!#REF!</definedName>
    <definedName name="AA00324_">'[12]TB WORLI'!#REF!</definedName>
    <definedName name="AA00325_">'[12]TB WORLI'!#REF!</definedName>
    <definedName name="AA00326_">'[12]TB WORLI'!#REF!</definedName>
    <definedName name="AA00327_">'[12]TB WORLI'!#REF!</definedName>
    <definedName name="AA00328_">'[12]TB WORLI'!#REF!</definedName>
    <definedName name="AA00329_">'[12]TB WORLI'!#REF!</definedName>
    <definedName name="AA00330_">'[12]TB WORLI'!#REF!</definedName>
    <definedName name="AA00332_">'[12]TB WORLI'!#REF!</definedName>
    <definedName name="AA00337_">'[12]TB WORLI'!#REF!</definedName>
    <definedName name="AA00338_">'[12]TB WORLI'!#REF!</definedName>
    <definedName name="AA00361_">'[12]TB WORLI'!#REF!</definedName>
    <definedName name="AA00362_">'[12]TB WORLI'!#REF!</definedName>
    <definedName name="AA00367_">'[12]TB WORLI'!#REF!</definedName>
    <definedName name="AA00368_">'[12]TB WORLI'!#REF!</definedName>
    <definedName name="AA00369_">'[12]TB WORLI'!#REF!</definedName>
    <definedName name="AA00370_">'[12]TB WORLI'!#REF!</definedName>
    <definedName name="AA00372_">'[12]TB WORLI'!#REF!</definedName>
    <definedName name="AA00373_">'[12]TB WORLI'!#REF!</definedName>
    <definedName name="AA00374_">'[12]TB WORLI'!#REF!</definedName>
    <definedName name="AA00375_">'[12]TB WORLI'!#REF!</definedName>
    <definedName name="AA00376_">'[12]TB WORLI'!#REF!</definedName>
    <definedName name="AA00377_">'[12]TB WORLI'!#REF!</definedName>
    <definedName name="AA00378_">'[12]TB WORLI'!#REF!</definedName>
    <definedName name="AA00379_">'[12]TB WORLI'!#REF!</definedName>
    <definedName name="AA0038_">'[12]TB WORLI'!#REF!</definedName>
    <definedName name="AA00380_">'[12]TB WORLI'!#REF!</definedName>
    <definedName name="AA00381_">'[12]TB WORLI'!#REF!</definedName>
    <definedName name="AA00382_">'[12]TB WORLI'!#REF!</definedName>
    <definedName name="AA00386_">'[12]TB WORLI'!#REF!</definedName>
    <definedName name="AA00387_">'[12]TB WORLI'!#REF!</definedName>
    <definedName name="AA00388_">'[12]TB WORLI'!#REF!</definedName>
    <definedName name="AA00389_">'[12]TB WORLI'!#REF!</definedName>
    <definedName name="AA00390_">'[12]TB WORLI'!#REF!</definedName>
    <definedName name="AA00392_">'[12]TB WORLI'!#REF!</definedName>
    <definedName name="AA00397_">'[12]TB WORLI'!#REF!</definedName>
    <definedName name="AA00400_">'[12]TB WORLI'!#REF!</definedName>
    <definedName name="AA00402_">'[12]TB WORLI'!#REF!</definedName>
    <definedName name="AA00420_">'[12]TB WORLI'!#REF!</definedName>
    <definedName name="AA00434_">'[12]TB WORLI'!#REF!</definedName>
    <definedName name="AA00435_">'[12]TB WORLI'!#REF!</definedName>
    <definedName name="AA00436_">'[12]TB WORLI'!#REF!</definedName>
    <definedName name="AA00437_">'[12]TB WORLI'!#REF!</definedName>
    <definedName name="AA00439_">'[12]TB WORLI'!#REF!</definedName>
    <definedName name="AA00440_">'[12]TB WORLI'!#REF!</definedName>
    <definedName name="AA00441_">'[12]TB WORLI'!#REF!</definedName>
    <definedName name="AA00442_">'[12]TB WORLI'!#REF!</definedName>
    <definedName name="AA00444_">'[12]TB WORLI'!#REF!</definedName>
    <definedName name="AA00445_">'[12]TB WORLI'!#REF!</definedName>
    <definedName name="AA00446_">'[12]TB WORLI'!#REF!</definedName>
    <definedName name="AA00447_">'[12]TB WORLI'!#REF!</definedName>
    <definedName name="AA00452_">'[12]TB WORLI'!#REF!</definedName>
    <definedName name="AA00454_">'[12]TB WORLI'!#REF!</definedName>
    <definedName name="AA0049_">'[12]TB WORLI'!#REF!</definedName>
    <definedName name="AA0065_">'[12]TB WORLI'!#REF!</definedName>
    <definedName name="AA0131_">'[12]TB WORLI'!#REF!</definedName>
    <definedName name="AA0142_">'[12]TB WORLI'!#REF!</definedName>
    <definedName name="AAA">#REF!</definedName>
    <definedName name="ABC">'[15]BS&amp;PLA'!#REF!</definedName>
    <definedName name="abnl"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ACTUAL">#REF!</definedName>
    <definedName name="Actual_vs.">#REF!</definedName>
    <definedName name="AE00250_">'[12]TB WORLI'!#REF!</definedName>
    <definedName name="AE00251_">'[12]TB WORLI'!#REF!</definedName>
    <definedName name="AE00281_">'[12]TB WORLI'!#REF!</definedName>
    <definedName name="AE00289_">'[12]TB WORLI'!#REF!</definedName>
    <definedName name="AE0159_">'[12]TB WORLI'!#REF!</definedName>
    <definedName name="AE0160_">'[12]TB WORLI'!#REF!</definedName>
    <definedName name="AE0211_">'[12]TB WORLI'!#REF!</definedName>
    <definedName name="AE0219_">'[12]TB WORLI'!#REF!</definedName>
    <definedName name="AE0225_">'[12]TB WORLI'!#REF!</definedName>
    <definedName name="AE0232_">'[12]TB WORLI'!#REF!</definedName>
    <definedName name="AE0243_">'[12]TB WORLI'!#REF!</definedName>
    <definedName name="AH">#REF!</definedName>
    <definedName name="AI00296_">'[12]TB WORLI'!#REF!</definedName>
    <definedName name="AI00298_">'[12]TB WORLI'!#REF!</definedName>
    <definedName name="AI00319_">'[12]TB WORLI'!#REF!</definedName>
    <definedName name="AI00320_">'[12]TB WORLI'!#REF!</definedName>
    <definedName name="AI00321_">'[12]TB WORLI'!#REF!</definedName>
    <definedName name="AI0256_">'[12]TB WORLI'!#REF!</definedName>
    <definedName name="AI0286_">'[12]TB WORLI'!#REF!</definedName>
    <definedName name="AJ">#REF!</definedName>
    <definedName name="AL00382_">'[12]TB WORLI'!#REF!</definedName>
    <definedName name="AL00623_">'[12]TB WORLI'!#REF!</definedName>
    <definedName name="AL00655_">'[12]TB WORLI'!#REF!</definedName>
    <definedName name="AL00664_">'[12]TB WORLI'!#REF!</definedName>
    <definedName name="AL0333_">'[12]TB WORLI'!#REF!</definedName>
    <definedName name="AL0342_">'[12]TB WORLI'!#REF!</definedName>
    <definedName name="AL0355_">'[12]TB WORLI'!#REF!</definedName>
    <definedName name="ANANT">#REF!</definedName>
    <definedName name="ANDAMAN_AND_NICOBAR_ISLANDS">#REF!</definedName>
    <definedName name="Annexure">#REF!</definedName>
    <definedName name="anscount" hidden="1">1</definedName>
    <definedName name="AR">#REF!</definedName>
    <definedName name="architect">#REF!</definedName>
    <definedName name="as">#REF!</definedName>
    <definedName name="AS2DocOpenMode" hidden="1">"AS2DocumentEdit"</definedName>
    <definedName name="ASIA_PLASTIC_in_KUSD">#REF!</definedName>
    <definedName name="ASS">#REF!</definedName>
    <definedName name="assetfull_4">#REF!</definedName>
    <definedName name="assetfull_5">#REF!</definedName>
    <definedName name="assetfull_6">#REF!</definedName>
    <definedName name="assetfull_7">#REF!</definedName>
    <definedName name="assetfull_8">#REF!</definedName>
    <definedName name="ASSETS1_4">#REF!</definedName>
    <definedName name="ASSETS1_5">#REF!</definedName>
    <definedName name="ASSETS1_6">#REF!</definedName>
    <definedName name="ASSETS1_7">#REF!</definedName>
    <definedName name="ASSETS1_8">#REF!</definedName>
    <definedName name="AssetType">[8]Sheet1!$C$1:$C$5</definedName>
    <definedName name="ASST2_4">#REF!</definedName>
    <definedName name="ASST2_5">#REF!</definedName>
    <definedName name="ASST2_6">#REF!</definedName>
    <definedName name="ASST2_7">#REF!</definedName>
    <definedName name="ASST2_8">#REF!</definedName>
    <definedName name="AsstYr">[16]Masters!$C$34</definedName>
    <definedName name="AudName">[17]Masters!$C$13</definedName>
    <definedName name="Avg.">#REF!</definedName>
    <definedName name="axedoc">#REF!</definedName>
    <definedName name="AY">#REF!</definedName>
    <definedName name="b">#REF!</definedName>
    <definedName name="BA0007_">'[13]TB WORLI'!$B$5</definedName>
    <definedName name="BA0008_">'[13]TB WORLI'!$B$6</definedName>
    <definedName name="BA00169_">'[13]TB WORLI'!$B$8</definedName>
    <definedName name="BA00212_">'[12]TB WORLI'!$B$136</definedName>
    <definedName name="BA00223_">'[13]TB WORLI'!$B$10</definedName>
    <definedName name="BA00238_">'[13]TB WORLI'!$B$13</definedName>
    <definedName name="BA00270_">'[12]TB WORLI'!$B$8</definedName>
    <definedName name="BA00271_">'[13]TB WORLI'!$B$16</definedName>
    <definedName name="BA00298_">'[12]TB WORLI'!$B$139</definedName>
    <definedName name="BA00301_">'[13]TB WORLI'!$B$23</definedName>
    <definedName name="BA00302_">'[13]TB WORLI'!$B$24</definedName>
    <definedName name="BA00303_">'[13]TB WORLI'!$B$25</definedName>
    <definedName name="BA00304_">'[13]TB WORLI'!$B$26</definedName>
    <definedName name="BA00319_">'[13]TB WORLI'!$B$32</definedName>
    <definedName name="BA00338_">'[13]TB WORLI'!$B$45</definedName>
    <definedName name="BA00339_">'[13]TB WORLI'!$B$46</definedName>
    <definedName name="BA00358_">'[13]TB WORLI'!$B$47</definedName>
    <definedName name="BA00362_">'[13]TB WORLI'!$B$49</definedName>
    <definedName name="BA00371_">'[13]TB WORLI'!$B$54</definedName>
    <definedName name="BA00405_">'[12]TB WORLI'!$B$18</definedName>
    <definedName name="BA00433_">'[13]TB WORLI'!$B$78</definedName>
    <definedName name="BA00434_">'[13]TB WORLI'!$B$79</definedName>
    <definedName name="BA00437_">'[13]TB WORLI'!$B$82</definedName>
    <definedName name="BA00441_">'[13]TB WORLI'!$B$85</definedName>
    <definedName name="BA00442_">'[13]TB WORLI'!$B$86</definedName>
    <definedName name="BA00449_">'[13]TB WORLI'!$B$91</definedName>
    <definedName name="BA0045_">'[13]TB WORLI'!$B$92</definedName>
    <definedName name="BA00450_">'[12]TB WORLI'!$B$22</definedName>
    <definedName name="BA00453_">'[12]TB WORLI'!$B$23</definedName>
    <definedName name="BA0049_">'[13]TB WORLI'!$B$97</definedName>
    <definedName name="BA0051_">'[13]TB WORLI'!$B$98</definedName>
    <definedName name="BA0062_">'[13]TB WORLI'!$B$100</definedName>
    <definedName name="BA0064_">'[13]TB WORLI'!$B$101</definedName>
    <definedName name="BA0072_">'[13]TB WORLI'!$B$103</definedName>
    <definedName name="BA0141_">'[13]TB WORLI'!$B$105</definedName>
    <definedName name="bal">'[2]BS 590'!$B$1:$H$65</definedName>
    <definedName name="balancesheet">[18]working!$A$378:$C$532</definedName>
    <definedName name="Basis">#REF!</definedName>
    <definedName name="BBB">#REF!</definedName>
    <definedName name="bbbbbb">#REF!</definedName>
    <definedName name="BE00281_">'[13]TB WORLI'!$B$109</definedName>
    <definedName name="BE00289_">'[13]TB WORLI'!$B$110</definedName>
    <definedName name="BE00306_">'[13]TB WORLI'!$B$111</definedName>
    <definedName name="BE0160_">'[13]TB WORLI'!$B$113</definedName>
    <definedName name="BE0161_">'[13]TB WORLI'!$B$114</definedName>
    <definedName name="BE0211_">'[13]TB WORLI'!$B$115</definedName>
    <definedName name="BE0219_">'[13]TB WORLI'!$B$116</definedName>
    <definedName name="BE0225_">'[12]TB WORLI'!$B$151</definedName>
    <definedName name="BE0235_">'[12]TB WORLI'!$B$33</definedName>
    <definedName name="BE0243_">'[13]TB WORLI'!$B$119</definedName>
    <definedName name="BEP_4">#REF!</definedName>
    <definedName name="BEP_5">#REF!</definedName>
    <definedName name="BEP_6">#REF!</definedName>
    <definedName name="BEP_7">#REF!</definedName>
    <definedName name="BEP_8">#REF!</definedName>
    <definedName name="Bharat_diam.Brou_99">#REF!</definedName>
    <definedName name="Bhavik">#REF!</definedName>
    <definedName name="BI00296_">'[13]TB WORLI'!$B$120</definedName>
    <definedName name="BI00298_">'[13]TB WORLI'!$B$121</definedName>
    <definedName name="BI00319_">'[13]TB WORLI'!$B$122</definedName>
    <definedName name="BI00320_">'[13]TB WORLI'!$B$123</definedName>
    <definedName name="BI00321_">'[13]TB WORLI'!$B$124</definedName>
    <definedName name="BI00326_">'[13]TB WORLI'!$B$125</definedName>
    <definedName name="BI00335_">'[13]TB WORLI'!$B$126</definedName>
    <definedName name="BI0260_">'[13]TB WORLI'!$B$128</definedName>
    <definedName name="BI0261_">'[13]TB WORLI'!$B$129</definedName>
    <definedName name="BI0286_">'[13]TB WORLI'!$B$130</definedName>
    <definedName name="BL00380_">'[13]TB WORLI'!$B$131</definedName>
    <definedName name="BL00386_">'[13]TB WORLI'!$B$133</definedName>
    <definedName name="BL00649_">'[13]TB WORLI'!$B$135</definedName>
    <definedName name="BL00664_">'[13]TB WORLI'!$B$137</definedName>
    <definedName name="BL00678_">'[13]TB WORLI'!$B$138</definedName>
    <definedName name="BL00702_">'[12]TB WORLI'!$B$43</definedName>
    <definedName name="BL0302_">'[13]TB WORLI'!$B$139</definedName>
    <definedName name="BL0322_">'[13]TB WORLI'!$B$140</definedName>
    <definedName name="BL0333_">'[13]TB WORLI'!$B$141</definedName>
    <definedName name="BL0342_">'[12]TB WORLI'!$B$155</definedName>
    <definedName name="BSDateLF">[17]Masters!$C$27</definedName>
    <definedName name="BSDateSF">[16]Masters!$C$28</definedName>
    <definedName name="BSSignDate">[17]Masters!$C$35</definedName>
    <definedName name="BU">'[19]Report Setup Sheet'!$B$50</definedName>
    <definedName name="BUDGET">#REF!</definedName>
    <definedName name="CA">[17]Masters!$C$19</definedName>
    <definedName name="cash_bank_bal_99">#REF!</definedName>
    <definedName name="cbi_facility_99">#REF!</definedName>
    <definedName name="cbs">[1]combined!$B$2:$H$82</definedName>
    <definedName name="cc" hidden="1">{#N/A,#N/A,TRUE,"Sheet1"}</definedName>
    <definedName name="CCC">#REF!</definedName>
    <definedName name="CCSA">[20]Volumes!#REF!</definedName>
    <definedName name="challan">#REF!</definedName>
    <definedName name="ChallanDatabase">[21]Challan!$A$7:$S$58</definedName>
    <definedName name="checkpoints">#REF!</definedName>
    <definedName name="CHINA_PLASTIC_in_KUSD">#REF!</definedName>
    <definedName name="cl_stk_rough_99">#REF!</definedName>
    <definedName name="CoAdd">[16]Masters!$C$4</definedName>
    <definedName name="CoAddCont">[17]Masters!$C$5</definedName>
    <definedName name="COI">#REF!</definedName>
    <definedName name="COMMTDS">#REF!</definedName>
    <definedName name="COMP">#REF!</definedName>
    <definedName name="Computer">#REF!</definedName>
    <definedName name="CoName">[16]Masters!$C$3</definedName>
    <definedName name="Consolidation">#REF!</definedName>
    <definedName name="contractor">#REF!</definedName>
    <definedName name="contractors">#REF!</definedName>
    <definedName name="COST">#REF!</definedName>
    <definedName name="cost_calcn">#REF!</definedName>
    <definedName name="CoStatus">[16]Masters!$C$7</definedName>
    <definedName name="cpandl">[1]combined!$B$87:$N$153</definedName>
    <definedName name="Creditors_99">#REF!</definedName>
    <definedName name="Creditors_labour_99">#REF!</definedName>
    <definedName name="CSA">[20]Volumes!#REF!</definedName>
    <definedName name="curru">[22]Calc!$H$173</definedName>
    <definedName name="d">#REF!</definedName>
    <definedName name="DATA1">#REF!</definedName>
    <definedName name="DATA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_xlnm.Database">#REF!</definedName>
    <definedName name="dd" hidden="1">{#N/A,#N/A,TRUE,"Sheet1"}</definedName>
    <definedName name="DEBT">#REF!</definedName>
    <definedName name="DEBTOR">#REF!</definedName>
    <definedName name="DECO">#REF!</definedName>
    <definedName name="deep">'[23]TB APJ'!$B$85</definedName>
    <definedName name="Dep"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DEP.">#REF!</definedName>
    <definedName name="DEP_CAL2">[24]depreciation!#REF!</definedName>
    <definedName name="DEP_WORK1">#REF!</definedName>
    <definedName name="DEPRECIATION">#REF!</definedName>
    <definedName name="designation">#REF!</definedName>
    <definedName name="DeTotal">#REF!</definedName>
    <definedName name="dfqewrewewqq">#REF!</definedName>
    <definedName name="dfsa">#REF!</definedName>
    <definedName name="disbI">'[25]43b'!$H$28</definedName>
    <definedName name="disbII">'[25]43b'!$H$33</definedName>
    <definedName name="DM">#REF!</definedName>
    <definedName name="ds">#REF!</definedName>
    <definedName name="DSCR">#REF!</definedName>
    <definedName name="DSCR_4">#REF!</definedName>
    <definedName name="DSCR_5">#REF!</definedName>
    <definedName name="DSCR_6">#REF!</definedName>
    <definedName name="DSCR_7">#REF!</definedName>
    <definedName name="DSCR_8">#REF!</definedName>
    <definedName name="dsfa">'[12]TB WORLI'!#REF!</definedName>
    <definedName name="E">'[2]BS 590'!$C$447:$F$452</definedName>
    <definedName name="E00250_">'[13]TB APJ'!$B$67</definedName>
    <definedName name="E00251_">'[13]TB APJ'!$B$68</definedName>
    <definedName name="E00252_">[14]tb!$B$169</definedName>
    <definedName name="E00257_">'[13]TB APJ'!$B$69</definedName>
    <definedName name="E00258_">'[13]TB APJ'!$B$70</definedName>
    <definedName name="E00265_">'[13]TB APJ'!$B$71</definedName>
    <definedName name="E00266_">'[13]TB APJ'!$B$72</definedName>
    <definedName name="E00268_">'[13]TB APJ'!#REF!</definedName>
    <definedName name="E00270_">'[13]TB APJ'!#REF!</definedName>
    <definedName name="E00271_">'[12]TB APJ'!#REF!</definedName>
    <definedName name="E00277_">'[13]TB APJ'!$B$73</definedName>
    <definedName name="E00280_">[26]trialbal!$B$145</definedName>
    <definedName name="E00284_">'[13]TB APJ'!#REF!</definedName>
    <definedName name="E00285_">'[13]TB APJ'!#REF!</definedName>
    <definedName name="E00289_">'[13]TB APJ'!$B$74</definedName>
    <definedName name="E00290_">'[13]TB APJ'!$B$75</definedName>
    <definedName name="E00292_">'[13]TB APJ'!#REF!</definedName>
    <definedName name="E00294_">'[13]TB APJ'!#REF!</definedName>
    <definedName name="E00295_">'[13]TB APJ'!#REF!</definedName>
    <definedName name="E00296_">'[13]TB APJ'!$B$76</definedName>
    <definedName name="E00297_">'[13]TB APJ'!$B$77</definedName>
    <definedName name="E00298_">'[13]TB APJ'!#REF!</definedName>
    <definedName name="E00299_">'[13]TB APJ'!$B$78</definedName>
    <definedName name="E00300_">'[13]TB APJ'!$B$79</definedName>
    <definedName name="E00301_">'[13]TB APJ'!$B$80</definedName>
    <definedName name="E00302_">'[13]TB APJ'!#REF!</definedName>
    <definedName name="E00303_">'[12]TB APJ'!#REF!</definedName>
    <definedName name="E00305_">'[13]TB APJ'!#REF!</definedName>
    <definedName name="E00308_">'[13]TB APJ'!$B$81</definedName>
    <definedName name="E00313_">'[13]TB APJ'!$B$83</definedName>
    <definedName name="E00316_">'[13]TB APJ'!$B$84</definedName>
    <definedName name="E00320_">'[13]TB APJ'!$B$85</definedName>
    <definedName name="E00321_">'[13]TB APJ'!$B$86</definedName>
    <definedName name="E00322_">'[13]TB APJ'!$B$87</definedName>
    <definedName name="E00323_">'[13]TB APJ'!$B$88</definedName>
    <definedName name="E00324_">'[13]TB APJ'!$B$89</definedName>
    <definedName name="E00325_">'[13]TB APJ'!$B$90</definedName>
    <definedName name="E00326_">'[13]TB APJ'!$B$91</definedName>
    <definedName name="E00327_">'[13]TB APJ'!$B$92</definedName>
    <definedName name="E00328_">'[13]TB APJ'!$B$93</definedName>
    <definedName name="E00329_">'[13]TB APJ'!$B$94</definedName>
    <definedName name="E00330_">'[13]TB APJ'!$B$95</definedName>
    <definedName name="E00331_">'[23]TB APJ'!$B$67</definedName>
    <definedName name="E0158_">'[13]TB APJ'!$B$96</definedName>
    <definedName name="E0159_">'[13]TB APJ'!$B$97</definedName>
    <definedName name="E0160_">'[12]TB WORLI'!#REF!</definedName>
    <definedName name="E0161_">'[13]TB APJ'!$B$98</definedName>
    <definedName name="E0162_">'[13]TB APJ'!$B$99</definedName>
    <definedName name="E0164_">'[13]TB APJ'!$B$100</definedName>
    <definedName name="E0165_">'[13]TB APJ'!$B$101</definedName>
    <definedName name="E0168_">'[13]TB APJ'!$B$102</definedName>
    <definedName name="E0169_">'[13]TB APJ'!$B$103</definedName>
    <definedName name="E0170_">'[13]TB APJ'!$B$104</definedName>
    <definedName name="E0171_">'[13]TB APJ'!#REF!</definedName>
    <definedName name="E0172_">'[13]TB APJ'!$B$367</definedName>
    <definedName name="E0173_">'[13]TB APJ'!$B$105</definedName>
    <definedName name="E0174_">'[13]TB APJ'!$B$106</definedName>
    <definedName name="E0175_">'[13]TB APJ'!#REF!</definedName>
    <definedName name="E0177_">'[13]TB APJ'!$B$107</definedName>
    <definedName name="E0178_">'[13]TB APJ'!$B$108</definedName>
    <definedName name="E0179_">'[13]TB APJ'!$B$109</definedName>
    <definedName name="E0180_">'[13]TB APJ'!$B$110</definedName>
    <definedName name="E0181_">'[13]TB APJ'!$B$111</definedName>
    <definedName name="E0183_">'[13]TB APJ'!$B$112</definedName>
    <definedName name="E0184_">'[13]TB APJ'!$B$113</definedName>
    <definedName name="E0186_">'[13]TB APJ'!$B$114</definedName>
    <definedName name="E0187_">'[13]TB APJ'!$B$115</definedName>
    <definedName name="E0188_">'[13]TB APJ'!#REF!</definedName>
    <definedName name="E0189_">'[13]TB APJ'!$B$116</definedName>
    <definedName name="E0190_">'[13]TB APJ'!$B$117</definedName>
    <definedName name="E0196_">'[13]TB APJ'!$B$118</definedName>
    <definedName name="E0197_">'[13]TB APJ'!#REF!</definedName>
    <definedName name="E0201_">'[13]TB APJ'!$B$281</definedName>
    <definedName name="e0201a">[27]TB!$B$185</definedName>
    <definedName name="E0202_">'[13]TB APJ'!$B$369</definedName>
    <definedName name="E0203_">'[13]TB APJ'!$B$119</definedName>
    <definedName name="E0204_">'[13]TB APJ'!$B$120</definedName>
    <definedName name="E0209_">'[13]TB APJ'!$B$121</definedName>
    <definedName name="E0210_">'[13]TB APJ'!$B$122</definedName>
    <definedName name="E0211_">'[13]TB APJ'!$B$123</definedName>
    <definedName name="E0212_">'[13]TB APJ'!$B$124</definedName>
    <definedName name="E0214_">'[13]TB APJ'!$B$125</definedName>
    <definedName name="E0215_">'[13]TB APJ'!$B$244</definedName>
    <definedName name="E0218_">'[13]TB APJ'!$B$126</definedName>
    <definedName name="E0219_">'[13]TB APJ'!$B$127</definedName>
    <definedName name="E0220_">'[13]TB APJ'!$B$128</definedName>
    <definedName name="E0221_">'[13]TB APJ'!$B$129</definedName>
    <definedName name="E0222_">'[13]TB APJ'!$B$130</definedName>
    <definedName name="E0225_">'[13]TB APJ'!$B$131</definedName>
    <definedName name="E0226_">'[13]TB APJ'!$B$132</definedName>
    <definedName name="E0227_">'[13]TB APJ'!$B$133</definedName>
    <definedName name="E0228_">'[13]TB APJ'!$B$134</definedName>
    <definedName name="E0230_">'[13]TB APJ'!$B$135</definedName>
    <definedName name="E0231_">'[13]TB APJ'!$B$136</definedName>
    <definedName name="E0233_">'[13]TB APJ'!$B$137</definedName>
    <definedName name="E0234_">'[13]TB APJ'!$B$138</definedName>
    <definedName name="E0235_">'[13]TB APJ'!$B$139</definedName>
    <definedName name="E0237_">'[13]TB APJ'!#REF!</definedName>
    <definedName name="E0238_">'[13]TB APJ'!$B$140</definedName>
    <definedName name="E0239_">'[13]TB APJ'!$B$141</definedName>
    <definedName name="E0240_">'[13]TB APJ'!$B$245</definedName>
    <definedName name="E0241_">'[13]TB APJ'!$B$142</definedName>
    <definedName name="E0242_">'[13]TB APJ'!$B$143</definedName>
    <definedName name="E0243_">'[13]TB APJ'!$B$144</definedName>
    <definedName name="E0245_">'[13]TB APJ'!$B$145</definedName>
    <definedName name="E0246_">'[13]TB APJ'!$B$250</definedName>
    <definedName name="E0247_">'[13]TB APJ'!$B$146</definedName>
    <definedName name="eeeeeeee" hidden="1">{#N/A,#N/A,TRUE,"Sheet1"}</definedName>
    <definedName name="Equipment">#REF!</definedName>
    <definedName name="ewrdwe">'[23]TB APJ'!$B$196</definedName>
    <definedName name="ExcelData\Tax\Tax3cd.xls">#REF!</definedName>
    <definedName name="exchange">'[28]exchange fluctuation'!$U$178:$AA$212</definedName>
    <definedName name="exp_rec_99">#REF!</definedName>
    <definedName name="f">#REF!</definedName>
    <definedName name="FA">#REF!</definedName>
    <definedName name="fbt">'[2]BS 590'!$B$388:$G$427</definedName>
    <definedName name="fdsa">#REF!</definedName>
    <definedName name="Frtout">[20]Volumes!#REF!</definedName>
    <definedName name="fsd">#REF!</definedName>
    <definedName name="fsda">'[12]TB WORLI'!#REF!</definedName>
    <definedName name="FUNDFLOW">#REF!</definedName>
    <definedName name="FUNDFLOW_4">#REF!</definedName>
    <definedName name="FUNDFLOW_5">#REF!</definedName>
    <definedName name="FUNDFLOW_6">#REF!</definedName>
    <definedName name="FUNDFLOW_7">#REF!</definedName>
    <definedName name="FUNDFLOW_8">#REF!</definedName>
    <definedName name="furniture">#REF!</definedName>
    <definedName name="FY">#REF!</definedName>
    <definedName name="g">#REF!</definedName>
    <definedName name="gggfgg">#REF!</definedName>
    <definedName name="ghj">#REF!</definedName>
    <definedName name="Graph1">'[29]JOB WORK'!$G$4:$M$35</definedName>
    <definedName name="Graph2">'[29]JOB WORK'!$U$1253:$AA$1287</definedName>
    <definedName name="Graph3">'[29]JOB WORK'!$M$1355:$V$1402</definedName>
    <definedName name="Graph4">'[29]JOB WORK'!$P$1405:$AA$1432</definedName>
    <definedName name="gross_block_99">#REF!</definedName>
    <definedName name="Gross_Margin___Rs_M">#REF!</definedName>
    <definedName name="gross_sales">#REF!</definedName>
    <definedName name="gross_sales_98">#REF!</definedName>
    <definedName name="gross_sales_99">#REF!</definedName>
    <definedName name="Group1">[22]Calc!$H$174</definedName>
    <definedName name="Group10">[22]Calc!$H$183</definedName>
    <definedName name="Group2">[22]Calc!$H$175</definedName>
    <definedName name="Group3">[22]Calc!$H$176</definedName>
    <definedName name="Group4">[22]Calc!$H$177</definedName>
    <definedName name="Group5">[22]Calc!$H$178</definedName>
    <definedName name="Group6">[22]Calc!$H$179</definedName>
    <definedName name="Group7">[22]Calc!$H$180</definedName>
    <definedName name="Group8">[22]Calc!$H$181</definedName>
    <definedName name="Group9">[22]Calc!$H$182</definedName>
    <definedName name="GRPI">'[3]BS&amp;PLA'!#REF!</definedName>
    <definedName name="grrp2">'[30]BS &amp; Pr &amp; Loss'!$B$434:$D$554</definedName>
    <definedName name="h">#REF!</definedName>
    <definedName name="hh" hidden="1">{#N/A,#N/A,TRUE,"Sheet1"}</definedName>
    <definedName name="HHC">'[31]80HHC- final'!$B$3:$I$70</definedName>
    <definedName name="hhh"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I">#REF!</definedName>
    <definedName name="I00292_">'[13]TB APJ'!#REF!</definedName>
    <definedName name="I00294_">'[13]TB APJ'!$B$372</definedName>
    <definedName name="I00295_">'[13]TB APJ'!$B$373</definedName>
    <definedName name="I00296_">'[13]TB APJ'!$B$374</definedName>
    <definedName name="I00297_">'[13]TB APJ'!$B$375</definedName>
    <definedName name="I00298_">'[13]TB APJ'!#REF!</definedName>
    <definedName name="I00299_">'[13]TB APJ'!#REF!</definedName>
    <definedName name="I00300_">'[13]TB APJ'!#REF!</definedName>
    <definedName name="I00301_">'[13]TB APJ'!$B$147</definedName>
    <definedName name="I00302_">'[13]TB APJ'!$B$148</definedName>
    <definedName name="I00313_">'[13]TB APJ'!#REF!</definedName>
    <definedName name="I00316_">'[13]TB APJ'!#REF!</definedName>
    <definedName name="I00318_">'[13]TB APJ'!$B$149</definedName>
    <definedName name="I00319_">'[13]TB APJ'!$B$376</definedName>
    <definedName name="I00320_">'[13]TB APJ'!#REF!</definedName>
    <definedName name="I00321_">'[13]TB APJ'!$B$150</definedName>
    <definedName name="I00322_">'[13]TB APJ'!$B$378</definedName>
    <definedName name="I00324_">'[13]TB APJ'!$B$379</definedName>
    <definedName name="I00326_">'[13]TB APJ'!#REF!</definedName>
    <definedName name="I00327_">'[13]TB APJ'!$B$151</definedName>
    <definedName name="I00328_">'[13]TB APJ'!$B$152</definedName>
    <definedName name="I00329_">'[13]TB APJ'!#REF!</definedName>
    <definedName name="I00330_">'[13]TB APJ'!$B$240</definedName>
    <definedName name="I00331_">'[13]TB APJ'!#REF!</definedName>
    <definedName name="I00332_">'[13]TB APJ'!#REF!</definedName>
    <definedName name="I00333_">'[13]TB APJ'!$B$153</definedName>
    <definedName name="I00334_">'[13]TB APJ'!#REF!</definedName>
    <definedName name="I00335_">'[13]TB APJ'!#REF!</definedName>
    <definedName name="I00336_">'[13]TB APJ'!$B$154</definedName>
    <definedName name="I00337_">'[13]TB APJ'!#REF!</definedName>
    <definedName name="I00338_">'[13]TB APJ'!$B$234</definedName>
    <definedName name="I00340_">'[13]TB APJ'!#REF!</definedName>
    <definedName name="I00341_">'[13]TB APJ'!#REF!</definedName>
    <definedName name="I00342_">'[13]TB APJ'!#REF!</definedName>
    <definedName name="I00343_">'[13]TB APJ'!$B$236</definedName>
    <definedName name="I00344_">'[13]TB APJ'!$B$237</definedName>
    <definedName name="I00345_">'[13]TB APJ'!$B$155</definedName>
    <definedName name="I00348_">'[13]TB APJ'!$B$156</definedName>
    <definedName name="I00349_">'[13]TB APJ'!$B$157</definedName>
    <definedName name="I00350_">'[13]TB APJ'!$B$158</definedName>
    <definedName name="I00351_">'[13]TB APJ'!$B$159</definedName>
    <definedName name="I00363_">'[13]TB APJ'!$B$160</definedName>
    <definedName name="I00364_">'[13]TB APJ'!$B$161</definedName>
    <definedName name="I00365_">'[12]TB APJ'!$B$109</definedName>
    <definedName name="I0250_">'[13]TB APJ'!$B$162</definedName>
    <definedName name="I0251_">'[13]TB APJ'!$B$163</definedName>
    <definedName name="I0254_">'[13]TB APJ'!$B$164</definedName>
    <definedName name="I0260_">'[13]TB APJ'!$B$165</definedName>
    <definedName name="I0261_">'[13]TB APJ'!$B$383</definedName>
    <definedName name="I0263_">'[13]TB APJ'!$B$166</definedName>
    <definedName name="I0264_">'[13]TB APJ'!$B$238</definedName>
    <definedName name="I0265_">'[13]TB APJ'!$B$167</definedName>
    <definedName name="I0267_">'[13]TB APJ'!$B$168</definedName>
    <definedName name="I0268_">'[13]TB APJ'!#REF!</definedName>
    <definedName name="I0269_">'[13]TB APJ'!$B$385</definedName>
    <definedName name="I0270_">'[13]TB APJ'!$B$169</definedName>
    <definedName name="I0274_">'[13]TB APJ'!#REF!</definedName>
    <definedName name="I0275_">'[13]TB APJ'!$B$170</definedName>
    <definedName name="I0276_">'[13]TB APJ'!$B$171</definedName>
    <definedName name="I0277_">'[13]TB APJ'!$B$386</definedName>
    <definedName name="I0281_">'[13]TB APJ'!$B$387</definedName>
    <definedName name="I0282_">'[13]TB APJ'!$B$172</definedName>
    <definedName name="I0283_">'[13]TB APJ'!$B$389</definedName>
    <definedName name="I0286_">'[13]TB APJ'!$B$173</definedName>
    <definedName name="I0287_">'[13]TB APJ'!$B$174</definedName>
    <definedName name="I0288_">'[13]TB APJ'!#REF!</definedName>
    <definedName name="I0289_">'[13]TB APJ'!$B$175</definedName>
    <definedName name="I0291_">'[13]TB APJ'!$B$176</definedName>
    <definedName name="IMMPRO">#REF!</definedName>
    <definedName name="imprim1"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INCOME">#REF!</definedName>
    <definedName name="INDIA_PLASTIC_in_KUSD">#REF!</definedName>
    <definedName name="indian">#REF!</definedName>
    <definedName name="INDIAN_RAYON_AND_INDUSTRIES_LIMITED">"ANNX1"</definedName>
    <definedName name="int_99">#REF!</definedName>
    <definedName name="inv">#REF!</definedName>
    <definedName name="IT_DEP1">#REF!</definedName>
    <definedName name="IT_DEP2">#REF!</definedName>
    <definedName name="J">#REF!</definedName>
    <definedName name="JHARKHAND">#REF!</definedName>
    <definedName name="k">#REF!</definedName>
    <definedName name="KEY_INDICATORS_4">#REF!</definedName>
    <definedName name="KEY_INDICATORS_5">#REF!</definedName>
    <definedName name="KEY_INDICATORS_6">#REF!</definedName>
    <definedName name="KEY_INDICATORS_7">#REF!</definedName>
    <definedName name="KEY_INDICATORS_8">#REF!</definedName>
    <definedName name="KOREA_PLASTIC_in_KUSD">#REF!</definedName>
    <definedName name="L">[32]rough!#REF!</definedName>
    <definedName name="L00380_">'[13]TB APJ'!$B$177</definedName>
    <definedName name="L00385_">'[13]TB APJ'!$B$178</definedName>
    <definedName name="L00386_">'[13]TB APJ'!$B$179</definedName>
    <definedName name="L00398_">'[13]TB APJ'!$B$390</definedName>
    <definedName name="L00406_">'[13]TB APJ'!$B$317</definedName>
    <definedName name="L00409_">'[13]TB APJ'!$B$180</definedName>
    <definedName name="L00410_">'[13]TB APJ'!#REF!</definedName>
    <definedName name="L00416_">'[13]TB APJ'!#REF!</definedName>
    <definedName name="L00417_">'[13]TB APJ'!#REF!</definedName>
    <definedName name="L00418_">'[13]TB APJ'!#REF!</definedName>
    <definedName name="L00420_">'[13]TB APJ'!$B$181</definedName>
    <definedName name="L00625_">'[13]TB APJ'!#REF!</definedName>
    <definedName name="L00626_">'[13]TB APJ'!#REF!</definedName>
    <definedName name="L00627_">'[13]TB APJ'!#REF!</definedName>
    <definedName name="L00628_">'[13]TB APJ'!#REF!</definedName>
    <definedName name="L00644_">'[13]TB APJ'!#REF!</definedName>
    <definedName name="L00646_">'[13]TB APJ'!#REF!</definedName>
    <definedName name="L00647_">'[13]TB APJ'!#REF!</definedName>
    <definedName name="L00649_">'[13]TB APJ'!$B$182</definedName>
    <definedName name="L00655_">'[13]TB APJ'!$B$392</definedName>
    <definedName name="L00656_">'[13]TB APJ'!#REF!</definedName>
    <definedName name="L00657_">'[13]TB APJ'!#REF!</definedName>
    <definedName name="L00659_">'[13]TB APJ'!#REF!</definedName>
    <definedName name="L00660_">'[13]TB APJ'!#REF!</definedName>
    <definedName name="L00665_">'[13]TB APJ'!#REF!</definedName>
    <definedName name="L00666_">'[13]TB APJ'!$B$183</definedName>
    <definedName name="L00667_">'[13]TB APJ'!$B$184</definedName>
    <definedName name="L00668_">'[12]TB APJ'!#REF!</definedName>
    <definedName name="L00669_">'[13]TB APJ'!$B$185</definedName>
    <definedName name="L00670_">'[13]TB APJ'!#REF!</definedName>
    <definedName name="L00671_">'[13]TB APJ'!#REF!</definedName>
    <definedName name="L00672_">'[13]TB APJ'!#REF!</definedName>
    <definedName name="L00673_">'[13]TB APJ'!#REF!</definedName>
    <definedName name="L00675_">'[13]TB APJ'!#REF!</definedName>
    <definedName name="L00677_">'[12]TB APJ'!#REF!</definedName>
    <definedName name="L00678_">'[13]TB APJ'!#REF!</definedName>
    <definedName name="L00681_">'[12]TB APJ'!#REF!</definedName>
    <definedName name="L00683_">'[13]TB APJ'!$B$188</definedName>
    <definedName name="L00684_">'[13]TB APJ'!$B$394</definedName>
    <definedName name="L00685_">'[13]TB APJ'!#REF!</definedName>
    <definedName name="L00686_">'[13]TB APJ'!#REF!</definedName>
    <definedName name="L00687_">'[13]TB APJ'!#REF!</definedName>
    <definedName name="L00690_">'[12]TB APJ'!#REF!</definedName>
    <definedName name="L00693_">'[13]TB APJ'!$B$275</definedName>
    <definedName name="L00697_">'[13]TB APJ'!$B$189</definedName>
    <definedName name="L00699_">'[13]TB APJ'!#REF!</definedName>
    <definedName name="L00703_">'[13]TB APJ'!#REF!</definedName>
    <definedName name="L00704_">'[13]TB APJ'!#REF!</definedName>
    <definedName name="L00705_">'[12]TB APJ'!#REF!</definedName>
    <definedName name="L00706_">'[13]TB APJ'!$B$192</definedName>
    <definedName name="L00707_">'[12]TB APJ'!$B$125</definedName>
    <definedName name="L00708_">'[13]TB APJ'!$B$194</definedName>
    <definedName name="L00714_">'[13]TB APJ'!$B$195</definedName>
    <definedName name="L00718_">'[13]TB APJ'!$B$247</definedName>
    <definedName name="L00719_">'[13]TB APJ'!$B$199</definedName>
    <definedName name="L00725_">'[13]TB APJ'!$B$304</definedName>
    <definedName name="L00728_">'[13]TB APJ'!$B$401</definedName>
    <definedName name="L00730_">'[13]TB APJ'!$B$402</definedName>
    <definedName name="L00731_">'[13]TB APJ'!$B$403</definedName>
    <definedName name="L00733_">'[13]TB APJ'!$B$200</definedName>
    <definedName name="L00735_">'[13]TB APJ'!$B$201</definedName>
    <definedName name="L00736_">'[13]TB APJ'!$B$202</definedName>
    <definedName name="L00737_">'[12]TB APJ'!$B$131</definedName>
    <definedName name="L0294_">'[13]TB APJ'!#REF!</definedName>
    <definedName name="L0295_">'[13]TB APJ'!$B$204</definedName>
    <definedName name="L0296_">'[13]TB APJ'!$B$205</definedName>
    <definedName name="L0298_">'[13]TB APJ'!$B$248</definedName>
    <definedName name="L0299_">'[13]TB APJ'!$B$207</definedName>
    <definedName name="L0300_">'[13]TB APJ'!$B$208</definedName>
    <definedName name="L0302_">'[13]TB APJ'!$B$320</definedName>
    <definedName name="L0303_">'[13]TB APJ'!$B$404</definedName>
    <definedName name="L0304_">'[13]TB APJ'!$B$209</definedName>
    <definedName name="L0305_">'[13]TB APJ'!#REF!</definedName>
    <definedName name="L0307_">'[13]TB APJ'!$B$210</definedName>
    <definedName name="L0308_">'[13]TB APJ'!#REF!</definedName>
    <definedName name="L0309_">'[13]TB APJ'!$B$211</definedName>
    <definedName name="L0310_">'[13]TB APJ'!$B$321</definedName>
    <definedName name="L0311_">'[13]TB APJ'!#REF!</definedName>
    <definedName name="L0316_">'[13]TB APJ'!$B$212</definedName>
    <definedName name="L0317_">'[13]TB APJ'!$B$213</definedName>
    <definedName name="L0318_">'[13]TB APJ'!#REF!</definedName>
    <definedName name="L0319_">'[13]TB APJ'!$B$214</definedName>
    <definedName name="L0322_">'[13]TB APJ'!$B$408</definedName>
    <definedName name="L0323_">'[13]TB APJ'!$B$215</definedName>
    <definedName name="L0326_">'[13]TB APJ'!$B$216</definedName>
    <definedName name="L0328_">'[13]TB APJ'!$B$217</definedName>
    <definedName name="L0330_">'[13]TB APJ'!#REF!</definedName>
    <definedName name="L0333_">'[13]TB APJ'!$B$218</definedName>
    <definedName name="L0337_">'[13]TB APJ'!$B$219</definedName>
    <definedName name="L0341_">'[13]TB APJ'!$B$220</definedName>
    <definedName name="L0342_">'[13]TB APJ'!$B$221</definedName>
    <definedName name="L0343_">'[13]TB APJ'!$B$222</definedName>
    <definedName name="L0344_">'[13]TB APJ'!#REF!</definedName>
    <definedName name="L0346_">'[13]TB APJ'!$B$414</definedName>
    <definedName name="L0347_">'[13]TB APJ'!$B$238</definedName>
    <definedName name="L0348_">'[12]TB APJ'!#REF!</definedName>
    <definedName name="L0349_">'[13]TB APJ'!$B$223</definedName>
    <definedName name="L0350_">'[13]TB APJ'!$B$415</definedName>
    <definedName name="L0351_">'[12]TB APJ'!#REF!</definedName>
    <definedName name="L0355_">'[13]TB APJ'!$B$225</definedName>
    <definedName name="L0356_">'[12]TB APJ'!#REF!</definedName>
    <definedName name="Labour">#REF!</definedName>
    <definedName name="Labour_99">#REF!</definedName>
    <definedName name="Labourch">#REF!</definedName>
    <definedName name="LAC">#REF!</definedName>
    <definedName name="LIAB_4">#REF!</definedName>
    <definedName name="LIAB_5">#REF!</definedName>
    <definedName name="LIAB_6">#REF!</definedName>
    <definedName name="LIAB_7">#REF!</definedName>
    <definedName name="LIAB_8">#REF!</definedName>
    <definedName name="ls">#REF!</definedName>
    <definedName name="M">#REF!</definedName>
    <definedName name="MDEVISES">#REF!,#REF!,#REF!</definedName>
    <definedName name="MethodAcc">[16]Masters!$C$46</definedName>
    <definedName name="MFRF">#REF!,#REF!,#REF!,#REF!,#REF!</definedName>
    <definedName name="mm" hidden="1">{#N/A,#N/A,TRUE,"Sheet1"}</definedName>
    <definedName name="MONTHLY_MG">#REF!</definedName>
    <definedName name="MStVal">[16]Masters!$C$47</definedName>
    <definedName name="multivision">#REF!</definedName>
    <definedName name="mv">#REF!</definedName>
    <definedName name="Name">#REF!</definedName>
    <definedName name="naresh" hidden="1">'[33]269T(final)'!#REF!</definedName>
    <definedName name="NatureBusiness">[16]Masters!$C$45</definedName>
    <definedName name="Note"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S_ON_ACCT">[34]tb!#REF!</definedName>
    <definedName name="O">[35]rough!#REF!</definedName>
    <definedName name="oh">#REF!</definedName>
    <definedName name="op_stk_rough_99">#REF!</definedName>
    <definedName name="operations">#REF!</definedName>
    <definedName name="other">#REF!</definedName>
    <definedName name="other_dep_99">#REF!</definedName>
    <definedName name="Other_exp_99">#REF!</definedName>
    <definedName name="other_labour">#REF!</definedName>
    <definedName name="othercon">#REF!</definedName>
    <definedName name="Others">[20]Volumes!#REF!</definedName>
    <definedName name="otr_labour">#REF!</definedName>
    <definedName name="otr_labour_99">#REF!</definedName>
    <definedName name="p">[36]rough!#REF!</definedName>
    <definedName name="P___L___Statement">#REF!</definedName>
    <definedName name="P_L">'[24]final  Bsheet &amp; P&amp; L '!#REF!</definedName>
    <definedName name="PAN">[16]Masters!$C$11</definedName>
    <definedName name="PartDesignation">[16]Masters!$C$16</definedName>
    <definedName name="PARTICULARS">#REF!</definedName>
    <definedName name="Partners_capital_99">#REF!</definedName>
    <definedName name="PBIDT">#REF!</definedName>
    <definedName name="PCSA">[20]Volumes!#REF!</definedName>
    <definedName name="pl">'[2]BS 590'!$B$69:$H$116</definedName>
    <definedName name="PL1_4">#REF!</definedName>
    <definedName name="PL1_5">#REF!</definedName>
    <definedName name="PL1_6">#REF!</definedName>
    <definedName name="PL1_7">#REF!</definedName>
    <definedName name="PL1_8">#REF!</definedName>
    <definedName name="PL2_4">#REF!</definedName>
    <definedName name="PL2_5">#REF!</definedName>
    <definedName name="PL2_6">#REF!</definedName>
    <definedName name="PL2_7">#REF!</definedName>
    <definedName name="PL2_8">#REF!</definedName>
    <definedName name="plfull_4">#REF!</definedName>
    <definedName name="plfull_5">#REF!</definedName>
    <definedName name="plfull_6">#REF!</definedName>
    <definedName name="plfull_7">#REF!</definedName>
    <definedName name="plfull_8">#REF!</definedName>
    <definedName name="plumbing">#REF!</definedName>
    <definedName name="Polish_cl_99">#REF!</definedName>
    <definedName name="Polish_op_99">#REF!</definedName>
    <definedName name="Power">#REF!</definedName>
    <definedName name="Power_99">#REF!</definedName>
    <definedName name="prash">#REF!</definedName>
    <definedName name="Praveen"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_xlnm.Print_Area" localSheetId="4">BSPL!$B$2:$G$873</definedName>
    <definedName name="_xlnm.Print_Area" localSheetId="3">'Cash Flow Statement'!$A$1:$C$90</definedName>
    <definedName name="_xlnm.Print_Area" localSheetId="8">'CLOSING STOCK 31-03-20'!$A$1:$Q$53</definedName>
    <definedName name="_xlnm.Print_Area" localSheetId="7">'Closing Stock Valuation'!$A$1:$H$40</definedName>
    <definedName name="_xlnm.Print_Area" localSheetId="5">'Depreciation Co. Act'!$C$56:$N$95</definedName>
    <definedName name="_xlnm.Print_Area" localSheetId="0">'Result 1'!$B$1:$J$68</definedName>
    <definedName name="_xlnm.Print_Area" localSheetId="1">'Result 2'!$B$1:$D$55</definedName>
    <definedName name="_xlnm.Print_Area" localSheetId="2">'Result 3'!$B$1:$D$52</definedName>
    <definedName name="_xlnm.Print_Area">#REF!</definedName>
    <definedName name="PRINT_AREA_MI">#REF!</definedName>
    <definedName name="_xlnm.Print_Titles">#N/A</definedName>
    <definedName name="PROFIT">#REF!</definedName>
    <definedName name="profitloss">[37]working!$A$540:$C$813</definedName>
    <definedName name="queries">#REF!</definedName>
    <definedName name="Ranalysis">#REF!</definedName>
    <definedName name="RATIO">#REF!</definedName>
    <definedName name="RATIOS_4">#REF!</definedName>
    <definedName name="RATIOS_5">#REF!</definedName>
    <definedName name="RATIOS_6">#REF!</definedName>
    <definedName name="RATIOS_7">#REF!</definedName>
    <definedName name="RATIOS_8">#REF!</definedName>
    <definedName name="Raw_material">#REF!</definedName>
    <definedName name="Raw_material_99">#REF!</definedName>
    <definedName name="RE_ADDITIONS">#REF!</definedName>
    <definedName name="RE_SLM">#REF!</definedName>
    <definedName name="RE_SLM10">#REF!</definedName>
    <definedName name="RE_SLM15">#REF!</definedName>
    <definedName name="RE_WDV">#REF!</definedName>
    <definedName name="Realisations_salevalue">#REF!</definedName>
    <definedName name="REIMB">[20]Volumes!#REF!</definedName>
    <definedName name="RMB">[38]Data!$D$10</definedName>
    <definedName name="ro">[39]Master!$N$2</definedName>
    <definedName name="roshan">#REF!</definedName>
    <definedName name="S">'[40]pharma - TB'!#REF!</definedName>
    <definedName name="S_5">#REF!</definedName>
    <definedName name="sa">'[23]TB APJ'!$B$97</definedName>
    <definedName name="SADFDSADFSADFD">#REF!</definedName>
    <definedName name="SALES">#REF!</definedName>
    <definedName name="salestax">[22]M_T!$H$6</definedName>
    <definedName name="sbi_facility_99">#REF!</definedName>
    <definedName name="Sc">[39]Master!$M$6</definedName>
    <definedName name="sch_131415">#REF!</definedName>
    <definedName name="sch_13141516">#REF!</definedName>
    <definedName name="Sch_191">#REF!</definedName>
    <definedName name="sch_192">#REF!</definedName>
    <definedName name="sch_193">#REF!</definedName>
    <definedName name="sch_194">#REF!</definedName>
    <definedName name="sch_195">#REF!</definedName>
    <definedName name="sch_196">#REF!</definedName>
    <definedName name="Sch_1a">#REF!</definedName>
    <definedName name="sch_2">#REF!</definedName>
    <definedName name="Sch_61">#REF!</definedName>
    <definedName name="Sch_62">#REF!</definedName>
    <definedName name="sch_63">#REF!</definedName>
    <definedName name="sch_789">#REF!</definedName>
    <definedName name="SCH1_3">#REF!</definedName>
    <definedName name="SCH1_TO_3">[34]tb!#REF!</definedName>
    <definedName name="SCH4_5">#REF!</definedName>
    <definedName name="SCH4_T0_5">[34]tb!#REF!</definedName>
    <definedName name="SCHE">#REF!</definedName>
    <definedName name="sdfdsadfs">#REF!</definedName>
    <definedName name="SECURITY">#REF!</definedName>
    <definedName name="Security_4">#REF!</definedName>
    <definedName name="SECURITY_5">#REF!</definedName>
    <definedName name="SECURITY_6">#REF!</definedName>
    <definedName name="SECURITY_7">#REF!</definedName>
    <definedName name="SECURITY_8">#REF!</definedName>
    <definedName name="SFDSAFSDAFSADFA">#REF!</definedName>
    <definedName name="ss"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sss">#REF!</definedName>
    <definedName name="st">[20]Volumes!#REF!</definedName>
    <definedName name="STATES">#REF!</definedName>
    <definedName name="STATES1">#REF!</definedName>
    <definedName name="Steel">#REF!</definedName>
    <definedName name="Stocks">#REF!</definedName>
    <definedName name="SUMM">#REF!</definedName>
    <definedName name="SUMM_BILL_AMT">#REF!</definedName>
    <definedName name="SUMM_CD">#REF!</definedName>
    <definedName name="SUMM_CF">#REF!</definedName>
    <definedName name="SUMM_DATE">#REF!</definedName>
    <definedName name="SUMM_DET">#REF!</definedName>
    <definedName name="SUMM_FRT">#REF!</definedName>
    <definedName name="SUMM_QTY">#REF!</definedName>
    <definedName name="SUMM_TOT">#REF!</definedName>
    <definedName name="SUMM_VAL">#REF!</definedName>
    <definedName name="summary">#REF!</definedName>
    <definedName name="SUN_D">#REF!</definedName>
    <definedName name="SWM">#REF!</definedName>
    <definedName name="SYSSSS">#REF!</definedName>
    <definedName name="TADes">[17]Masters!$C$22</definedName>
    <definedName name="TAFName">[16]Masters!$C$19</definedName>
    <definedName name="TAMNo">[16]Masters!$C$23</definedName>
    <definedName name="TAName">[16]Masters!$C$20</definedName>
    <definedName name="TAPlace">[16]Masters!$C$43</definedName>
    <definedName name="TAQua">[17]Masters!$C$21</definedName>
    <definedName name="Target">#REF!</definedName>
    <definedName name="tax">'[41]BS&amp;PLA'!$B$578:$H$664</definedName>
    <definedName name="Tax_MAT">#REF!</definedName>
    <definedName name="TaxAudAdd">[16]Masters!$C$24</definedName>
    <definedName name="TaxAuditDate">[16]Masters!$C$40</definedName>
    <definedName name="TEST0">#REF!</definedName>
    <definedName name="TEST1">#REF!</definedName>
    <definedName name="TESTHKEY">#REF!</definedName>
    <definedName name="TESTKEYS">#REF!</definedName>
    <definedName name="TESTVKEY">#REF!</definedName>
    <definedName name="THAI_PLASTIC_in_KUSD">#REF!</definedName>
    <definedName name="TNW_4">#REF!</definedName>
    <definedName name="TNW_5">#REF!</definedName>
    <definedName name="TNW_6">#REF!</definedName>
    <definedName name="TNW_7">#REF!</definedName>
    <definedName name="TNW_8">#REF!</definedName>
    <definedName name="transport">#REF!</definedName>
    <definedName name="tt"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ttttt"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unitwise">#REF!</definedName>
    <definedName name="unsecured_Loans_99">#REF!</definedName>
    <definedName name="USD.A">#REF!</definedName>
    <definedName name="USD.E">#REF!</definedName>
    <definedName name="USD_B">#REF!</definedName>
    <definedName name="Variance">#REF!</definedName>
    <definedName name="vv" hidden="1">{#N/A,#N/A,TRUE,"Sheet1"}</definedName>
    <definedName name="w" hidden="1">'[42]TRIAL BALANCE'!#REF!</definedName>
    <definedName name="WC">#REF!</definedName>
    <definedName name="WC_4">#REF!</definedName>
    <definedName name="WC_5">#REF!</definedName>
    <definedName name="WC_6">#REF!</definedName>
    <definedName name="WC_7">#REF!</definedName>
    <definedName name="WC_8">#REF!</definedName>
    <definedName name="Working">#REF!</definedName>
    <definedName name="wplbs">[1]wpl!$B$2:$H$82</definedName>
    <definedName name="wplpandl">[1]wpl!$B$87:$N$153</definedName>
    <definedName name="wplr1">[1]wpl!$B$176:$H$232</definedName>
    <definedName name="wplr2">[1]wpl!$B$236:$H$302</definedName>
    <definedName name="wplr3">[1]wpl!$B$331:$H$388</definedName>
    <definedName name="wrn.2." hidden="1">{#N/A,#N/A,TRUE,"Sheet1"}</definedName>
    <definedName name="wrn.imprim."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wrn.MDS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DS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P98." hidden="1">{#N/A,#N/A,FALSE,"INDEX";#N/A,#N/A,FALSE,"Cost";#N/A,#N/A,FALSE,"P-1";#N/A,#N/A,FALSE,"Sheet3";#N/A,#N/A,FALSE,"Sheet4";#N/A,#N/A,FALSE,"Sheet5";#N/A,#N/A,FALSE,"Sheet6";#N/A,#N/A,FALSE,"Sheet7";#N/A,#N/A,FALSE,"Sheet8";#N/A,#N/A,FALSE,"Sheet9";#N/A,#N/A,FALSE,"Sheet10";#N/A,#N/A,FALSE,"Sheet11";#N/A,#N/A,FALSE,"Sheet12";#N/A,#N/A,FALSE,"PAGE-11";#N/A,#N/A,FALSE,"PAGE-12";#N/A,#N/A,FALSE,"PAGE-13";#N/A,#N/A,FALSE,"PAGE-14";#N/A,#N/A,FALSE,"PAGE-15"}</definedName>
    <definedName name="wtilbs">[1]wtil!$B$2:$H$82</definedName>
    <definedName name="wtilpandl">[1]wtil!$B$86:$N$152</definedName>
    <definedName name="wtilr1">[1]wtil!$B$174:$H$227</definedName>
    <definedName name="wtilr2">[1]wtil!$B$229:$H$286</definedName>
    <definedName name="wtilr3">[1]wtil!$B$291:$H$350</definedName>
    <definedName name="xx"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YesNoNA">[8]Sheet1!$A$1:$A$3</definedName>
    <definedName name="Z">[32]rough!#REF!</definedName>
    <definedName name="Z_1B1DBD0B_919D_490D_9900_670A1DB24C6B_.wvu.Cols" hidden="1">[43]Dep!$F$1:$F$65536,[43]Dep!$J$1:$K$65536</definedName>
    <definedName name="Z_1B1DBD0B_919D_490D_9900_670A1DB24C6B_.wvu.Rows" hidden="1">'[43]Ann A'!#REF!,'[43]Ann A'!#REF!,'[43]Ann A'!#REF!,'[43]Ann A'!#REF!,'[43]Ann A'!#REF!,'[43]Ann A'!#REF!</definedName>
    <definedName name="Z_25FB9C05_6AD3_4F17_B4E2_C500C61A1349_.wvu.PrintArea" hidden="1">#REF!</definedName>
    <definedName name="Z_25FB9C05_6AD3_4F17_B4E2_C500C61A1349_.wvu.Rows" hidden="1">#REF!</definedName>
    <definedName name="Z_476F5800_BE05_4E70_959A_43C436F3A307_.wvu.PrintArea" hidden="1">#REF!</definedName>
    <definedName name="Z_476F5800_BE05_4E70_959A_43C436F3A307_.wvu.Rows" hidden="1">'[43]Ann A'!#REF!,'[43]Ann A'!#REF!</definedName>
    <definedName name="Z_68181020_4927_4299_A478_E9569D3AE9C1_.wvu.Cols" hidden="1">[43]COI!#REF!,[43]COI!#REF!</definedName>
    <definedName name="Z_68181020_4927_4299_A478_E9569D3AE9C1_.wvu.PrintArea" hidden="1">#REF!</definedName>
    <definedName name="Z_68181020_4927_4299_A478_E9569D3AE9C1_.wvu.Rows" hidden="1">[43]COI!#REF!,[43]COI!#REF!,[43]COI!#REF!,[43]COI!#REF!,[43]COI!#REF!,[43]COI!$A$74:$IV$74,[43]COI!$A$76:$IV$90,[43]COI!$A$92:$IV$92,[43]COI!$A$176:$IV$176,[43]COI!$A$179:$IV$181,[43]COI!$A$190:$IV$190,[43]COI!$A$217:$IV$217</definedName>
    <definedName name="Z_6FC40E20_2DF7_11D6_B0CE_0050BF1228E5_.wvu.Rows" hidden="1">[43]Dep!#REF!</definedName>
    <definedName name="Z_70BF2801_4F4E_4848_9CCA_A6AE52CF77AE_.wvu.Cols" hidden="1">#REF!</definedName>
    <definedName name="Z_70BF2801_4F4E_4848_9CCA_A6AE52CF77AE_.wvu.PrintArea" hidden="1">#REF!</definedName>
    <definedName name="Z_70BF2801_4F4E_4848_9CCA_A6AE52CF77AE_.wvu.Rows" hidden="1">[43]BS!#REF!,[43]BS!#REF!,[43]BS!#REF!,[43]BS!#REF!,[43]BS!#REF!,[43]BS!#REF!,[43]BS!#REF!,[43]BS!$A$1893:$IV$1904</definedName>
    <definedName name="Z_759827BE_126A_4DA8_9A48_C087589A2891_.wvu.Cols" hidden="1">[43]COI!#REF!,[43]COI!#REF!</definedName>
    <definedName name="Z_759827BE_126A_4DA8_9A48_C087589A2891_.wvu.PrintArea" hidden="1">#REF!</definedName>
    <definedName name="Z_759827BE_126A_4DA8_9A48_C087589A2891_.wvu.Rows" hidden="1">[43]COI!#REF!,[43]COI!#REF!,[43]COI!#REF!,[43]COI!#REF!,[43]COI!$A$74:$IV$74,[43]COI!#REF!,[43]COI!#REF!,[43]COI!$A$92:$IV$92,[43]COI!$A$176:$IV$176,[43]COI!$A$179:$IV$181,[43]COI!$A$190:$IV$190,[43]COI!$A$217:$IV$217</definedName>
    <definedName name="Z_76854680_FF75_11D5_90E8_0080AD1B77C1_.wvu.Cols" hidden="1">#REF!</definedName>
    <definedName name="Z_76854680_FF75_11D5_90E8_0080AD1B77C1_.wvu.PrintArea" hidden="1">#REF!</definedName>
    <definedName name="Z_76854680_FF75_11D5_90E8_0080AD1B77C1_.wvu.Rows" hidden="1">[43]Dep!#REF!,[43]Dep!#REF!,[43]Dep!#REF!</definedName>
    <definedName name="Z_81B49422_B94B_11D7_8BE4_000795ABF7ED_.wvu.FilterData" hidden="1">#REF!</definedName>
    <definedName name="Z_858DCAAA_6791_11D7_9DB9_0008A14364AB_.wvu.Rows" hidden="1">[43]Dep!#REF!,[43]Dep!#REF!</definedName>
    <definedName name="Z_85B100BE_7668_4BC6_8768_B14514E80945_.wvu.PrintArea" hidden="1">#REF!</definedName>
    <definedName name="Z_85B100BE_7668_4BC6_8768_B14514E80945_.wvu.Rows" hidden="1">#REF!</definedName>
    <definedName name="Z_873913D5_4C6D_4AAA_9858_E398AB45C5D4_.wvu.FilterData" hidden="1">[43]BS!#REF!</definedName>
    <definedName name="Z_873913D5_4C6D_4AAA_9858_E398AB45C5D4_.wvu.PrintTitles" hidden="1">#REF!</definedName>
    <definedName name="Z_93CF68E4_41DD_43B4_81CE_AB76E39C050C_.wvu.Cols" hidden="1">[43]Dep!$F$1:$F$65536,[43]Dep!$J$1:$K$65536</definedName>
    <definedName name="Z_93CF68E4_41DD_43B4_81CE_AB76E39C050C_.wvu.Rows" hidden="1">'[43]Ann A'!#REF!,'[43]Ann A'!#REF!,'[43]Ann A'!#REF!,'[43]Ann A'!#REF!,'[43]Ann A'!#REF!,'[43]Ann A'!#REF!</definedName>
    <definedName name="Z_9F6FB2C0_A861_11D6_A667_444553540000_.wvu.Rows" hidden="1">#REF!</definedName>
    <definedName name="Z_A334CDEA_1B26_497C_9E86_391980B45166_.wvu.Cols" hidden="1">[43]COI!#REF!,[43]COI!#REF!</definedName>
    <definedName name="Z_A334CDEA_1B26_497C_9E86_391980B45166_.wvu.PrintArea" hidden="1">#REF!</definedName>
    <definedName name="Z_A334CDEA_1B26_497C_9E86_391980B45166_.wvu.Rows" hidden="1">[43]COI!#REF!,[43]COI!#REF!,[43]COI!#REF!,[43]COI!#REF!,[43]COI!#REF!,[43]COI!$A$74:$IV$74,[43]COI!$A$76:$IV$90,[43]COI!$A$92:$IV$92,[43]COI!$A$176:$IV$176,[43]COI!$A$179:$IV$181,[43]COI!$A$190:$IV$190,[43]COI!$A$217:$IV$217</definedName>
    <definedName name="Z_ABF241F9_150E_41C3_9F82_17660A825266_.wvu.PrintArea" hidden="1">#REF!</definedName>
    <definedName name="Z_ABF241F9_150E_41C3_9F82_17660A825266_.wvu.Rows" hidden="1">#REF!</definedName>
    <definedName name="Z_BD120193_CED6_4E7F_9CAF_4B1A3FAB6783_.wvu.Rows" hidden="1">[43]Value!#REF!,[43]Value!#REF!,[43]Value!#REF!</definedName>
    <definedName name="Z_C80FA4E1_1D1A_481E_8BCE_44B44A80609D_.wvu.FilterData" hidden="1">[43]BS!#REF!</definedName>
    <definedName name="Z_D56D62A7_8091_4012_A10F_A462838BC292_.wvu.Rows" hidden="1">[43]BS!#REF!,[43]BS!#REF!,[43]BS!#REF!,[43]BS!#REF!,[43]BS!#REF!,[43]BS!#REF!,[43]BS!$A$1893:$IV$1904</definedName>
    <definedName name="Z_DECB9532_B929_4DF0_AF97_7264233CC0D3_.wvu.Rows" hidden="1">[43]Value!#REF!,[43]Value!#REF!,[43]Value!#REF!</definedName>
    <definedName name="Z_F039C147_8083_49A0_B541_A610A15BA793_.wvu.Cols" localSheetId="11" hidden="1">'Depreciation as per Income Tax'!$H:$I</definedName>
    <definedName name="Z_F039C147_8083_49A0_B541_A610A15BA793_.wvu.FilterData" localSheetId="13" hidden="1">'TB MAIN'!$A$4:$Q$544</definedName>
    <definedName name="Z_F039C147_8083_49A0_B541_A610A15BA793_.wvu.FilterData" localSheetId="14" hidden="1">TB31032020!$A$11:$I$413</definedName>
    <definedName name="Z_F039C147_8083_49A0_B541_A610A15BA793_.wvu.PrintArea" localSheetId="4" hidden="1">BSPL!$B$2:$G$874</definedName>
    <definedName name="Z_F039C147_8083_49A0_B541_A610A15BA793_.wvu.PrintArea" localSheetId="8" hidden="1">'CLOSING STOCK 31-03-20'!$A$1:$R$53</definedName>
    <definedName name="Z_F039C147_8083_49A0_B541_A610A15BA793_.wvu.PrintArea" localSheetId="5" hidden="1">'Depreciation Co. Act'!$C$56:$O$77</definedName>
    <definedName name="Z_F039C147_8083_49A0_B541_A610A15BA793_.wvu.Rows" localSheetId="4" hidden="1">BSPL!$25:$25,BSPL!$193:$193,BSPL!$195:$195,BSPL!$430:$430,BSPL!$432:$433,BSPL!$457:$458</definedName>
    <definedName name="Z_F039C147_8083_49A0_B541_A610A15BA793_.wvu.Rows" localSheetId="8" hidden="1">'CLOSING STOCK 31-03-20'!$3:$5</definedName>
    <definedName name="Z_F039C147_8083_49A0_B541_A610A15BA793_.wvu.Rows" localSheetId="5" hidden="1">'Depreciation Co. Act'!$1:$53</definedName>
    <definedName name="Z_F140806D_66CA_4A66_855A_CCBDE7D69760_.wvu.Cols" localSheetId="11" hidden="1">'Depreciation as per Income Tax'!$H:$I</definedName>
    <definedName name="Z_F140806D_66CA_4A66_855A_CCBDE7D69760_.wvu.FilterData" localSheetId="13" hidden="1">'TB MAIN'!$A$4:$Q$544</definedName>
    <definedName name="Z_F140806D_66CA_4A66_855A_CCBDE7D69760_.wvu.FilterData" localSheetId="14" hidden="1">TB31032020!$A$11:$I$413</definedName>
    <definedName name="Z_F140806D_66CA_4A66_855A_CCBDE7D69760_.wvu.PrintArea" localSheetId="4" hidden="1">BSPL!$B$2:$G$874</definedName>
    <definedName name="Z_F140806D_66CA_4A66_855A_CCBDE7D69760_.wvu.PrintArea" localSheetId="8" hidden="1">'CLOSING STOCK 31-03-20'!$A$1:$R$53</definedName>
    <definedName name="Z_F140806D_66CA_4A66_855A_CCBDE7D69760_.wvu.PrintArea" localSheetId="5" hidden="1">'Depreciation Co. Act'!$C$56:$O$77</definedName>
    <definedName name="Z_F140806D_66CA_4A66_855A_CCBDE7D69760_.wvu.Rows" localSheetId="4" hidden="1">BSPL!$25:$25,BSPL!$193:$193,BSPL!$195:$195,BSPL!$430:$430,BSPL!$432:$433,BSPL!$457:$458</definedName>
    <definedName name="Z_F140806D_66CA_4A66_855A_CCBDE7D69760_.wvu.Rows" localSheetId="8" hidden="1">'CLOSING STOCK 31-03-20'!$3:$5</definedName>
    <definedName name="Z_F140806D_66CA_4A66_855A_CCBDE7D69760_.wvu.Rows" localSheetId="5" hidden="1">'Depreciation Co. Act'!$1:$53</definedName>
    <definedName name="Z_F221F4C2_7D82_4257_B96F_FCA3AD43258C_.wvu.FilterData" localSheetId="13" hidden="1">'TB MAIN'!$A$4:$Q$544</definedName>
    <definedName name="Z_F221F4C2_7D82_4257_B96F_FCA3AD43258C_.wvu.FilterData" localSheetId="14" hidden="1">TB31032020!$A$11:$I$413</definedName>
    <definedName name="Z_F28CBC21_556C_11DB_93B8_0008A132C219_.wvu.Cols" hidden="1">[43]COI!#REF!,[43]COI!#REF!</definedName>
    <definedName name="Z_F28CBC21_556C_11DB_93B8_0008A132C219_.wvu.PrintArea" hidden="1">#REF!</definedName>
    <definedName name="Z_F28CBC21_556C_11DB_93B8_0008A132C219_.wvu.Rows" hidden="1">[43]COI!#REF!,[43]COI!#REF!,[43]COI!#REF!,[43]COI!#REF!,[43]COI!$A$74:$IV$74,[43]COI!#REF!,[43]COI!#REF!,[43]COI!$A$92:$IV$92,[43]COI!$A$176:$IV$176,[43]COI!$A$179:$IV$181,[43]COI!$A$190:$IV$190,[43]COI!$A$217:$IV$217</definedName>
    <definedName name="Z_FECDEFC0_A783_4C3E_A42B_0363B174BEE2_.wvu.FilterData" hidden="1">[43]BS!#REF!</definedName>
    <definedName name="Z_FECDEFC0_A783_4C3E_A42B_0363B174BEE2_.wvu.PrintTitles" hidden="1">#REF!</definedName>
    <definedName name="zcx"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s>
  <calcPr calcId="162913"/>
  <customWorkbookViews>
    <customWorkbookView name="Windows User - Personal View" guid="{F039C147-8083-49A0-B541-A610A15BA793}" mergeInterval="0" personalView="1" windowWidth="1024" windowHeight="728" activeSheetId="1"/>
    <customWorkbookView name="Amit - Personal View" guid="{F140806D-66CA-4A66-855A-CCBDE7D69760}" mergeInterval="0" personalView="1" maximized="1" xWindow="-8" yWindow="-8" windowWidth="1382" windowHeight="744" activeSheetId="5"/>
  </customWorkbookViews>
  <pivotCaches>
    <pivotCache cacheId="0" r:id="rId67"/>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4" i="3" l="1"/>
  <c r="G74" i="3"/>
  <c r="F74" i="3"/>
  <c r="H74" i="3"/>
  <c r="H73" i="3"/>
  <c r="O243" i="1"/>
  <c r="F563" i="1" l="1"/>
  <c r="G368" i="1" l="1"/>
  <c r="G364" i="1"/>
  <c r="F367" i="1"/>
  <c r="F368" i="1" s="1"/>
  <c r="G369" i="1" l="1"/>
  <c r="N74" i="3" l="1"/>
  <c r="N73" i="3"/>
  <c r="H60" i="3"/>
  <c r="M60" i="3"/>
  <c r="N60" i="3"/>
  <c r="C79" i="3"/>
  <c r="G560" i="1"/>
  <c r="G550" i="1"/>
  <c r="F535" i="1"/>
  <c r="F553" i="1" s="1"/>
  <c r="G553" i="1"/>
  <c r="N35" i="5" l="1"/>
  <c r="L35" i="5"/>
  <c r="N42" i="5"/>
  <c r="L9" i="5"/>
  <c r="G540" i="1" l="1"/>
  <c r="F540" i="1"/>
  <c r="D871" i="1" l="1"/>
  <c r="D867" i="1"/>
  <c r="D866" i="1"/>
  <c r="D862" i="1"/>
  <c r="D861" i="1"/>
  <c r="D858" i="1"/>
  <c r="D857" i="1"/>
  <c r="D853" i="1"/>
  <c r="D852" i="1"/>
  <c r="B862" i="1"/>
  <c r="B861" i="1"/>
  <c r="B860" i="1"/>
  <c r="E210" i="1" l="1"/>
  <c r="E206" i="1"/>
  <c r="B133" i="1"/>
  <c r="B214" i="1" s="1"/>
  <c r="E147" i="1"/>
  <c r="E227" i="1" s="1"/>
  <c r="E143" i="1"/>
  <c r="E224" i="1" s="1"/>
  <c r="E138" i="1"/>
  <c r="E219" i="1" s="1"/>
  <c r="E133" i="1"/>
  <c r="E214" i="1" s="1"/>
  <c r="G8" i="1"/>
  <c r="H38" i="15" l="1"/>
  <c r="G27" i="15"/>
  <c r="G16" i="15"/>
  <c r="H16" i="15"/>
  <c r="H15" i="15"/>
  <c r="F371" i="1"/>
  <c r="P36" i="14" l="1"/>
  <c r="S36" i="14" s="1"/>
  <c r="J412" i="1"/>
  <c r="T27" i="14"/>
  <c r="T26" i="14"/>
  <c r="T25" i="14"/>
  <c r="T24" i="14"/>
  <c r="T23" i="14"/>
  <c r="T22" i="14"/>
  <c r="T21" i="14"/>
  <c r="T20" i="14"/>
  <c r="T19" i="14"/>
  <c r="T18" i="14"/>
  <c r="T17" i="14"/>
  <c r="T16" i="14"/>
  <c r="R34" i="14"/>
  <c r="P34" i="14"/>
  <c r="R33" i="14"/>
  <c r="P33" i="14"/>
  <c r="R29" i="14"/>
  <c r="R35" i="14" s="1"/>
  <c r="S34" i="14" l="1"/>
  <c r="S33" i="14"/>
  <c r="I22" i="15"/>
  <c r="F22" i="15" s="1"/>
  <c r="L34" i="14" l="1"/>
  <c r="L33" i="14"/>
  <c r="F422" i="1"/>
  <c r="G371" i="1" l="1"/>
  <c r="R37" i="14" s="1"/>
  <c r="J293" i="1"/>
  <c r="K293" i="1"/>
  <c r="P37" i="14" l="1"/>
  <c r="S37" i="14" s="1"/>
  <c r="P39" i="14"/>
  <c r="F424" i="1" l="1"/>
  <c r="G94" i="3"/>
  <c r="F426" i="1"/>
  <c r="G426" i="1"/>
  <c r="G26" i="4" l="1"/>
  <c r="F428" i="1"/>
  <c r="F573" i="1" s="1"/>
  <c r="F110" i="1"/>
  <c r="G33" i="4"/>
  <c r="G18" i="15" l="1"/>
  <c r="I3" i="11" l="1"/>
  <c r="F3" i="11"/>
  <c r="N123" i="11"/>
  <c r="P123" i="11" s="1"/>
  <c r="K123" i="11"/>
  <c r="M123" i="11" s="1"/>
  <c r="H123" i="11"/>
  <c r="J123" i="11" s="1"/>
  <c r="E123" i="11"/>
  <c r="N509" i="11"/>
  <c r="P509" i="11" s="1"/>
  <c r="K509" i="11"/>
  <c r="M509" i="11" s="1"/>
  <c r="H509" i="11"/>
  <c r="J509" i="11" s="1"/>
  <c r="E509" i="11"/>
  <c r="F405" i="1"/>
  <c r="G123" i="11" l="1"/>
  <c r="Q123" i="11" s="1"/>
  <c r="G509" i="11"/>
  <c r="Q509" i="11" s="1"/>
  <c r="N538" i="11" l="1"/>
  <c r="P538" i="11" s="1"/>
  <c r="K538" i="11"/>
  <c r="M538" i="11" s="1"/>
  <c r="H538" i="11"/>
  <c r="J538" i="11" s="1"/>
  <c r="E538" i="11"/>
  <c r="G538" i="11" s="1"/>
  <c r="H543" i="11"/>
  <c r="E543" i="11"/>
  <c r="H541" i="11"/>
  <c r="J541" i="11" s="1"/>
  <c r="E541" i="11"/>
  <c r="G541" i="11" s="1"/>
  <c r="H540" i="11"/>
  <c r="J540" i="11" s="1"/>
  <c r="E540" i="11"/>
  <c r="G540" i="11" s="1"/>
  <c r="H539" i="11"/>
  <c r="J539" i="11" s="1"/>
  <c r="F415" i="12" s="1"/>
  <c r="H415" i="12" s="1"/>
  <c r="E539" i="11"/>
  <c r="G539" i="11" s="1"/>
  <c r="H537" i="11"/>
  <c r="J537" i="11" s="1"/>
  <c r="E537" i="11"/>
  <c r="G537" i="11" s="1"/>
  <c r="H536" i="11"/>
  <c r="J536" i="11" s="1"/>
  <c r="F414" i="12" s="1"/>
  <c r="H414" i="12" s="1"/>
  <c r="E536" i="11"/>
  <c r="G536" i="11" s="1"/>
  <c r="H535" i="11"/>
  <c r="J535" i="11" s="1"/>
  <c r="E535" i="11"/>
  <c r="G535" i="11" s="1"/>
  <c r="H534" i="11"/>
  <c r="J534" i="11" s="1"/>
  <c r="E534" i="11"/>
  <c r="G534" i="11" s="1"/>
  <c r="H533" i="11"/>
  <c r="J533" i="11" s="1"/>
  <c r="E533" i="11"/>
  <c r="G533" i="11" s="1"/>
  <c r="H532" i="11"/>
  <c r="J532" i="11" s="1"/>
  <c r="E532" i="11"/>
  <c r="G532" i="11" s="1"/>
  <c r="H531" i="11"/>
  <c r="J531" i="11" s="1"/>
  <c r="E531" i="11"/>
  <c r="G531" i="11" s="1"/>
  <c r="H530" i="11"/>
  <c r="J530" i="11" s="1"/>
  <c r="E530" i="11"/>
  <c r="G530" i="11" s="1"/>
  <c r="H529" i="11"/>
  <c r="J529" i="11" s="1"/>
  <c r="E529" i="11"/>
  <c r="G529" i="11" s="1"/>
  <c r="H528" i="11"/>
  <c r="J528" i="11" s="1"/>
  <c r="E528" i="11"/>
  <c r="G528" i="11" s="1"/>
  <c r="H527" i="11"/>
  <c r="J527" i="11" s="1"/>
  <c r="E527" i="11"/>
  <c r="G527" i="11" s="1"/>
  <c r="H526" i="11"/>
  <c r="J526" i="11" s="1"/>
  <c r="E526" i="11"/>
  <c r="G526" i="11" s="1"/>
  <c r="H525" i="11"/>
  <c r="J525" i="11" s="1"/>
  <c r="E525" i="11"/>
  <c r="G525" i="11" s="1"/>
  <c r="H524" i="11"/>
  <c r="J524" i="11" s="1"/>
  <c r="E524" i="11"/>
  <c r="G524" i="11" s="1"/>
  <c r="H523" i="11"/>
  <c r="J523" i="11" s="1"/>
  <c r="E523" i="11"/>
  <c r="G523" i="11" s="1"/>
  <c r="H522" i="11"/>
  <c r="J522" i="11" s="1"/>
  <c r="E522" i="11"/>
  <c r="G522" i="11" s="1"/>
  <c r="H521" i="11"/>
  <c r="J521" i="11" s="1"/>
  <c r="E521" i="11"/>
  <c r="G521" i="11" s="1"/>
  <c r="H520" i="11"/>
  <c r="J520" i="11" s="1"/>
  <c r="E520" i="11"/>
  <c r="G520" i="11" s="1"/>
  <c r="H519" i="11"/>
  <c r="J519" i="11" s="1"/>
  <c r="E519" i="11"/>
  <c r="G519" i="11" s="1"/>
  <c r="H518" i="11"/>
  <c r="J518" i="11" s="1"/>
  <c r="E518" i="11"/>
  <c r="G518" i="11" s="1"/>
  <c r="H517" i="11"/>
  <c r="J517" i="11" s="1"/>
  <c r="E517" i="11"/>
  <c r="G517" i="11" s="1"/>
  <c r="H516" i="11"/>
  <c r="J516" i="11" s="1"/>
  <c r="E516" i="11"/>
  <c r="G516" i="11" s="1"/>
  <c r="H515" i="11"/>
  <c r="J515" i="11" s="1"/>
  <c r="E515" i="11"/>
  <c r="G515" i="11" s="1"/>
  <c r="H514" i="11"/>
  <c r="J514" i="11" s="1"/>
  <c r="E514" i="11"/>
  <c r="G514" i="11" s="1"/>
  <c r="H513" i="11"/>
  <c r="J513" i="11" s="1"/>
  <c r="E513" i="11"/>
  <c r="G513" i="11" s="1"/>
  <c r="H512" i="11"/>
  <c r="J512" i="11" s="1"/>
  <c r="E512" i="11"/>
  <c r="G512" i="11" s="1"/>
  <c r="H511" i="11"/>
  <c r="J511" i="11" s="1"/>
  <c r="E511" i="11"/>
  <c r="G511" i="11" s="1"/>
  <c r="H510" i="11"/>
  <c r="J510" i="11" s="1"/>
  <c r="E510" i="11"/>
  <c r="G510" i="11" s="1"/>
  <c r="H508" i="11"/>
  <c r="J508" i="11" s="1"/>
  <c r="E508" i="11"/>
  <c r="G508" i="11" s="1"/>
  <c r="H507" i="11"/>
  <c r="J507" i="11" s="1"/>
  <c r="E507" i="11"/>
  <c r="G507" i="11" s="1"/>
  <c r="H506" i="11"/>
  <c r="J506" i="11" s="1"/>
  <c r="E506" i="11"/>
  <c r="G506" i="11" s="1"/>
  <c r="H505" i="11"/>
  <c r="J505" i="11" s="1"/>
  <c r="E505" i="11"/>
  <c r="G505" i="11" s="1"/>
  <c r="H504" i="11"/>
  <c r="J504" i="11" s="1"/>
  <c r="E504" i="11"/>
  <c r="G504" i="11" s="1"/>
  <c r="H503" i="11"/>
  <c r="J503" i="11" s="1"/>
  <c r="E503" i="11"/>
  <c r="G503" i="11" s="1"/>
  <c r="H502" i="11"/>
  <c r="J502" i="11" s="1"/>
  <c r="E502" i="11"/>
  <c r="G502" i="11" s="1"/>
  <c r="H501" i="11"/>
  <c r="J501" i="11" s="1"/>
  <c r="E501" i="11"/>
  <c r="G501" i="11" s="1"/>
  <c r="H500" i="11"/>
  <c r="J500" i="11" s="1"/>
  <c r="E500" i="11"/>
  <c r="G500" i="11" s="1"/>
  <c r="H499" i="11"/>
  <c r="J499" i="11" s="1"/>
  <c r="E499" i="11"/>
  <c r="G499" i="11" s="1"/>
  <c r="H498" i="11"/>
  <c r="J498" i="11" s="1"/>
  <c r="E498" i="11"/>
  <c r="G498" i="11" s="1"/>
  <c r="H497" i="11"/>
  <c r="J497" i="11" s="1"/>
  <c r="E497" i="11"/>
  <c r="G497" i="11" s="1"/>
  <c r="H496" i="11"/>
  <c r="J496" i="11" s="1"/>
  <c r="E496" i="11"/>
  <c r="G496" i="11" s="1"/>
  <c r="H495" i="11"/>
  <c r="J495" i="11" s="1"/>
  <c r="E495" i="11"/>
  <c r="G495" i="11" s="1"/>
  <c r="H494" i="11"/>
  <c r="J494" i="11" s="1"/>
  <c r="E494" i="11"/>
  <c r="G494" i="11" s="1"/>
  <c r="H493" i="11"/>
  <c r="J493" i="11" s="1"/>
  <c r="E493" i="11"/>
  <c r="G493" i="11" s="1"/>
  <c r="H492" i="11"/>
  <c r="J492" i="11" s="1"/>
  <c r="E492" i="11"/>
  <c r="G492" i="11" s="1"/>
  <c r="H491" i="11"/>
  <c r="J491" i="11" s="1"/>
  <c r="E491" i="11"/>
  <c r="G491" i="11" s="1"/>
  <c r="H490" i="11"/>
  <c r="J490" i="11" s="1"/>
  <c r="E490" i="11"/>
  <c r="G490" i="11" s="1"/>
  <c r="H489" i="11"/>
  <c r="J489" i="11" s="1"/>
  <c r="E489" i="11"/>
  <c r="G489" i="11" s="1"/>
  <c r="H488" i="11"/>
  <c r="J488" i="11" s="1"/>
  <c r="E488" i="11"/>
  <c r="G488" i="11" s="1"/>
  <c r="H487" i="11"/>
  <c r="J487" i="11" s="1"/>
  <c r="E487" i="11"/>
  <c r="G487" i="11" s="1"/>
  <c r="H486" i="11"/>
  <c r="J486" i="11" s="1"/>
  <c r="E486" i="11"/>
  <c r="G486" i="11" s="1"/>
  <c r="H485" i="11"/>
  <c r="J485" i="11" s="1"/>
  <c r="E485" i="11"/>
  <c r="G485" i="11" s="1"/>
  <c r="H484" i="11"/>
  <c r="J484" i="11" s="1"/>
  <c r="E484" i="11"/>
  <c r="G484" i="11" s="1"/>
  <c r="H483" i="11"/>
  <c r="J483" i="11" s="1"/>
  <c r="E483" i="11"/>
  <c r="G483" i="11" s="1"/>
  <c r="H482" i="11"/>
  <c r="J482" i="11" s="1"/>
  <c r="E482" i="11"/>
  <c r="G482" i="11" s="1"/>
  <c r="H481" i="11"/>
  <c r="J481" i="11" s="1"/>
  <c r="E481" i="11"/>
  <c r="G481" i="11" s="1"/>
  <c r="H480" i="11"/>
  <c r="J480" i="11" s="1"/>
  <c r="E480" i="11"/>
  <c r="G480" i="11" s="1"/>
  <c r="H479" i="11"/>
  <c r="J479" i="11" s="1"/>
  <c r="E479" i="11"/>
  <c r="G479" i="11" s="1"/>
  <c r="H478" i="11"/>
  <c r="J478" i="11" s="1"/>
  <c r="E478" i="11"/>
  <c r="G478" i="11" s="1"/>
  <c r="H477" i="11"/>
  <c r="J477" i="11" s="1"/>
  <c r="E477" i="11"/>
  <c r="G477" i="11" s="1"/>
  <c r="H476" i="11"/>
  <c r="J476" i="11" s="1"/>
  <c r="E476" i="11"/>
  <c r="G476" i="11" s="1"/>
  <c r="H475" i="11"/>
  <c r="J475" i="11" s="1"/>
  <c r="E475" i="11"/>
  <c r="G475" i="11" s="1"/>
  <c r="H474" i="11"/>
  <c r="J474" i="11" s="1"/>
  <c r="E474" i="11"/>
  <c r="G474" i="11" s="1"/>
  <c r="H473" i="11"/>
  <c r="J473" i="11" s="1"/>
  <c r="E473" i="11"/>
  <c r="G473" i="11" s="1"/>
  <c r="H472" i="11"/>
  <c r="J472" i="11" s="1"/>
  <c r="E472" i="11"/>
  <c r="G472" i="11" s="1"/>
  <c r="H471" i="11"/>
  <c r="J471" i="11" s="1"/>
  <c r="E471" i="11"/>
  <c r="G471" i="11" s="1"/>
  <c r="H470" i="11"/>
  <c r="J470" i="11" s="1"/>
  <c r="E470" i="11"/>
  <c r="G470" i="11" s="1"/>
  <c r="H469" i="11"/>
  <c r="J469" i="11" s="1"/>
  <c r="E469" i="11"/>
  <c r="G469" i="11" s="1"/>
  <c r="H468" i="11"/>
  <c r="J468" i="11" s="1"/>
  <c r="E468" i="11"/>
  <c r="G468" i="11" s="1"/>
  <c r="H467" i="11"/>
  <c r="J467" i="11" s="1"/>
  <c r="E467" i="11"/>
  <c r="G467" i="11" s="1"/>
  <c r="H466" i="11"/>
  <c r="J466" i="11" s="1"/>
  <c r="E466" i="11"/>
  <c r="G466" i="11" s="1"/>
  <c r="H465" i="11"/>
  <c r="J465" i="11" s="1"/>
  <c r="E465" i="11"/>
  <c r="G465" i="11" s="1"/>
  <c r="H464" i="11"/>
  <c r="J464" i="11" s="1"/>
  <c r="E464" i="11"/>
  <c r="G464" i="11" s="1"/>
  <c r="H463" i="11"/>
  <c r="J463" i="11" s="1"/>
  <c r="E463" i="11"/>
  <c r="G463" i="11" s="1"/>
  <c r="H462" i="11"/>
  <c r="J462" i="11" s="1"/>
  <c r="E462" i="11"/>
  <c r="G462" i="11" s="1"/>
  <c r="H461" i="11"/>
  <c r="J461" i="11" s="1"/>
  <c r="E461" i="11"/>
  <c r="G461" i="11" s="1"/>
  <c r="H460" i="11"/>
  <c r="J460" i="11" s="1"/>
  <c r="E460" i="11"/>
  <c r="G460" i="11" s="1"/>
  <c r="H459" i="11"/>
  <c r="J459" i="11" s="1"/>
  <c r="E459" i="11"/>
  <c r="G459" i="11" s="1"/>
  <c r="H458" i="11"/>
  <c r="J458" i="11" s="1"/>
  <c r="E458" i="11"/>
  <c r="G458" i="11" s="1"/>
  <c r="H457" i="11"/>
  <c r="J457" i="11" s="1"/>
  <c r="E457" i="11"/>
  <c r="G457" i="11" s="1"/>
  <c r="H456" i="11"/>
  <c r="J456" i="11" s="1"/>
  <c r="E456" i="11"/>
  <c r="G456" i="11" s="1"/>
  <c r="H455" i="11"/>
  <c r="J455" i="11" s="1"/>
  <c r="E455" i="11"/>
  <c r="G455" i="11" s="1"/>
  <c r="H454" i="11"/>
  <c r="J454" i="11" s="1"/>
  <c r="E454" i="11"/>
  <c r="G454" i="11" s="1"/>
  <c r="H453" i="11"/>
  <c r="J453" i="11" s="1"/>
  <c r="E453" i="11"/>
  <c r="G453" i="11" s="1"/>
  <c r="H452" i="11"/>
  <c r="J452" i="11" s="1"/>
  <c r="E452" i="11"/>
  <c r="G452" i="11" s="1"/>
  <c r="H451" i="11"/>
  <c r="J451" i="11" s="1"/>
  <c r="E451" i="11"/>
  <c r="G451" i="11" s="1"/>
  <c r="H450" i="11"/>
  <c r="J450" i="11" s="1"/>
  <c r="E450" i="11"/>
  <c r="G450" i="11" s="1"/>
  <c r="H449" i="11"/>
  <c r="J449" i="11" s="1"/>
  <c r="E449" i="11"/>
  <c r="G449" i="11" s="1"/>
  <c r="H448" i="11"/>
  <c r="J448" i="11" s="1"/>
  <c r="E448" i="11"/>
  <c r="G448" i="11" s="1"/>
  <c r="H447" i="11"/>
  <c r="J447" i="11" s="1"/>
  <c r="E447" i="11"/>
  <c r="G447" i="11" s="1"/>
  <c r="H446" i="11"/>
  <c r="J446" i="11" s="1"/>
  <c r="E446" i="11"/>
  <c r="G446" i="11" s="1"/>
  <c r="H445" i="11"/>
  <c r="J445" i="11" s="1"/>
  <c r="E445" i="11"/>
  <c r="G445" i="11" s="1"/>
  <c r="H444" i="11"/>
  <c r="J444" i="11" s="1"/>
  <c r="E444" i="11"/>
  <c r="G444" i="11" s="1"/>
  <c r="H443" i="11"/>
  <c r="J443" i="11" s="1"/>
  <c r="E443" i="11"/>
  <c r="G443" i="11" s="1"/>
  <c r="H442" i="11"/>
  <c r="J442" i="11" s="1"/>
  <c r="E442" i="11"/>
  <c r="G442" i="11" s="1"/>
  <c r="H441" i="11"/>
  <c r="J441" i="11" s="1"/>
  <c r="E441" i="11"/>
  <c r="G441" i="11" s="1"/>
  <c r="H440" i="11"/>
  <c r="J440" i="11" s="1"/>
  <c r="E440" i="11"/>
  <c r="G440" i="11" s="1"/>
  <c r="H439" i="11"/>
  <c r="J439" i="11" s="1"/>
  <c r="E439" i="11"/>
  <c r="G439" i="11" s="1"/>
  <c r="H438" i="11"/>
  <c r="J438" i="11" s="1"/>
  <c r="E438" i="11"/>
  <c r="G438" i="11" s="1"/>
  <c r="H437" i="11"/>
  <c r="J437" i="11" s="1"/>
  <c r="E437" i="11"/>
  <c r="G437" i="11" s="1"/>
  <c r="H436" i="11"/>
  <c r="J436" i="11" s="1"/>
  <c r="E436" i="11"/>
  <c r="G436" i="11" s="1"/>
  <c r="H435" i="11"/>
  <c r="J435" i="11" s="1"/>
  <c r="E435" i="11"/>
  <c r="G435" i="11" s="1"/>
  <c r="H434" i="11"/>
  <c r="J434" i="11" s="1"/>
  <c r="E434" i="11"/>
  <c r="G434" i="11" s="1"/>
  <c r="H433" i="11"/>
  <c r="J433" i="11" s="1"/>
  <c r="E433" i="11"/>
  <c r="G433" i="11" s="1"/>
  <c r="H432" i="11"/>
  <c r="J432" i="11" s="1"/>
  <c r="E432" i="11"/>
  <c r="G432" i="11" s="1"/>
  <c r="H431" i="11"/>
  <c r="J431" i="11" s="1"/>
  <c r="E431" i="11"/>
  <c r="G431" i="11" s="1"/>
  <c r="H430" i="11"/>
  <c r="J430" i="11" s="1"/>
  <c r="E430" i="11"/>
  <c r="G430" i="11" s="1"/>
  <c r="H429" i="11"/>
  <c r="J429" i="11" s="1"/>
  <c r="E429" i="11"/>
  <c r="G429" i="11" s="1"/>
  <c r="H428" i="11"/>
  <c r="J428" i="11" s="1"/>
  <c r="E428" i="11"/>
  <c r="G428" i="11" s="1"/>
  <c r="H427" i="11"/>
  <c r="J427" i="11" s="1"/>
  <c r="E427" i="11"/>
  <c r="G427" i="11" s="1"/>
  <c r="H426" i="11"/>
  <c r="J426" i="11" s="1"/>
  <c r="E426" i="11"/>
  <c r="G426" i="11" s="1"/>
  <c r="H425" i="11"/>
  <c r="J425" i="11" s="1"/>
  <c r="E425" i="11"/>
  <c r="G425" i="11" s="1"/>
  <c r="H424" i="11"/>
  <c r="J424" i="11" s="1"/>
  <c r="E424" i="11"/>
  <c r="G424" i="11" s="1"/>
  <c r="H423" i="11"/>
  <c r="J423" i="11" s="1"/>
  <c r="E423" i="11"/>
  <c r="G423" i="11" s="1"/>
  <c r="H422" i="11"/>
  <c r="J422" i="11" s="1"/>
  <c r="E422" i="11"/>
  <c r="G422" i="11" s="1"/>
  <c r="H421" i="11"/>
  <c r="J421" i="11" s="1"/>
  <c r="E421" i="11"/>
  <c r="G421" i="11" s="1"/>
  <c r="H420" i="11"/>
  <c r="J420" i="11" s="1"/>
  <c r="E420" i="11"/>
  <c r="G420" i="11" s="1"/>
  <c r="H419" i="11"/>
  <c r="J419" i="11" s="1"/>
  <c r="E419" i="11"/>
  <c r="G419" i="11" s="1"/>
  <c r="H418" i="11"/>
  <c r="J418" i="11" s="1"/>
  <c r="E418" i="11"/>
  <c r="G418" i="11" s="1"/>
  <c r="H417" i="11"/>
  <c r="J417" i="11" s="1"/>
  <c r="E417" i="11"/>
  <c r="G417" i="11" s="1"/>
  <c r="H416" i="11"/>
  <c r="J416" i="11" s="1"/>
  <c r="E416" i="11"/>
  <c r="G416" i="11" s="1"/>
  <c r="H415" i="11"/>
  <c r="J415" i="11" s="1"/>
  <c r="E415" i="11"/>
  <c r="G415" i="11" s="1"/>
  <c r="H414" i="11"/>
  <c r="J414" i="11" s="1"/>
  <c r="E414" i="11"/>
  <c r="G414" i="11" s="1"/>
  <c r="H413" i="11"/>
  <c r="J413" i="11" s="1"/>
  <c r="E413" i="11"/>
  <c r="G413" i="11" s="1"/>
  <c r="H412" i="11"/>
  <c r="J412" i="11" s="1"/>
  <c r="E412" i="11"/>
  <c r="G412" i="11" s="1"/>
  <c r="H411" i="11"/>
  <c r="J411" i="11" s="1"/>
  <c r="E411" i="11"/>
  <c r="G411" i="11" s="1"/>
  <c r="H410" i="11"/>
  <c r="J410" i="11" s="1"/>
  <c r="E410" i="11"/>
  <c r="G410" i="11" s="1"/>
  <c r="H409" i="11"/>
  <c r="J409" i="11" s="1"/>
  <c r="E409" i="11"/>
  <c r="G409" i="11" s="1"/>
  <c r="H408" i="11"/>
  <c r="J408" i="11" s="1"/>
  <c r="E408" i="11"/>
  <c r="G408" i="11" s="1"/>
  <c r="H407" i="11"/>
  <c r="J407" i="11" s="1"/>
  <c r="E407" i="11"/>
  <c r="G407" i="11" s="1"/>
  <c r="H406" i="11"/>
  <c r="J406" i="11" s="1"/>
  <c r="E406" i="11"/>
  <c r="G406" i="11" s="1"/>
  <c r="H405" i="11"/>
  <c r="J405" i="11" s="1"/>
  <c r="E405" i="11"/>
  <c r="G405" i="11" s="1"/>
  <c r="H404" i="11"/>
  <c r="J404" i="11" s="1"/>
  <c r="E404" i="11"/>
  <c r="G404" i="11" s="1"/>
  <c r="H403" i="11"/>
  <c r="J403" i="11" s="1"/>
  <c r="E403" i="11"/>
  <c r="G403" i="11" s="1"/>
  <c r="H402" i="11"/>
  <c r="J402" i="11" s="1"/>
  <c r="E402" i="11"/>
  <c r="G402" i="11" s="1"/>
  <c r="H401" i="11"/>
  <c r="J401" i="11" s="1"/>
  <c r="E401" i="11"/>
  <c r="G401" i="11" s="1"/>
  <c r="H400" i="11"/>
  <c r="J400" i="11" s="1"/>
  <c r="E400" i="11"/>
  <c r="G400" i="11" s="1"/>
  <c r="H399" i="11"/>
  <c r="J399" i="11" s="1"/>
  <c r="E399" i="11"/>
  <c r="G399" i="11" s="1"/>
  <c r="H398" i="11"/>
  <c r="J398" i="11" s="1"/>
  <c r="E398" i="11"/>
  <c r="G398" i="11" s="1"/>
  <c r="H397" i="11"/>
  <c r="J397" i="11" s="1"/>
  <c r="E397" i="11"/>
  <c r="G397" i="11" s="1"/>
  <c r="H396" i="11"/>
  <c r="J396" i="11" s="1"/>
  <c r="E396" i="11"/>
  <c r="G396" i="11" s="1"/>
  <c r="H395" i="11"/>
  <c r="J395" i="11" s="1"/>
  <c r="E395" i="11"/>
  <c r="G395" i="11" s="1"/>
  <c r="H394" i="11"/>
  <c r="J394" i="11" s="1"/>
  <c r="E394" i="11"/>
  <c r="G394" i="11" s="1"/>
  <c r="H393" i="11"/>
  <c r="J393" i="11" s="1"/>
  <c r="E393" i="11"/>
  <c r="G393" i="11" s="1"/>
  <c r="H392" i="11"/>
  <c r="J392" i="11" s="1"/>
  <c r="E392" i="11"/>
  <c r="G392" i="11" s="1"/>
  <c r="H391" i="11"/>
  <c r="J391" i="11" s="1"/>
  <c r="E391" i="11"/>
  <c r="G391" i="11" s="1"/>
  <c r="H390" i="11"/>
  <c r="J390" i="11" s="1"/>
  <c r="E390" i="11"/>
  <c r="G390" i="11" s="1"/>
  <c r="H389" i="11"/>
  <c r="J389" i="11" s="1"/>
  <c r="E389" i="11"/>
  <c r="G389" i="11" s="1"/>
  <c r="H388" i="11"/>
  <c r="J388" i="11" s="1"/>
  <c r="E388" i="11"/>
  <c r="G388" i="11" s="1"/>
  <c r="H387" i="11"/>
  <c r="J387" i="11" s="1"/>
  <c r="E387" i="11"/>
  <c r="G387" i="11" s="1"/>
  <c r="H386" i="11"/>
  <c r="J386" i="11" s="1"/>
  <c r="E386" i="11"/>
  <c r="G386" i="11" s="1"/>
  <c r="H385" i="11"/>
  <c r="J385" i="11" s="1"/>
  <c r="E385" i="11"/>
  <c r="G385" i="11" s="1"/>
  <c r="H384" i="11"/>
  <c r="J384" i="11" s="1"/>
  <c r="E384" i="11"/>
  <c r="G384" i="11" s="1"/>
  <c r="H383" i="11"/>
  <c r="J383" i="11" s="1"/>
  <c r="E383" i="11"/>
  <c r="G383" i="11" s="1"/>
  <c r="H382" i="11"/>
  <c r="J382" i="11" s="1"/>
  <c r="E382" i="11"/>
  <c r="G382" i="11" s="1"/>
  <c r="H381" i="11"/>
  <c r="J381" i="11" s="1"/>
  <c r="E381" i="11"/>
  <c r="G381" i="11" s="1"/>
  <c r="H380" i="11"/>
  <c r="J380" i="11" s="1"/>
  <c r="E380" i="11"/>
  <c r="G380" i="11" s="1"/>
  <c r="H379" i="11"/>
  <c r="J379" i="11" s="1"/>
  <c r="E379" i="11"/>
  <c r="G379" i="11" s="1"/>
  <c r="H378" i="11"/>
  <c r="J378" i="11" s="1"/>
  <c r="E378" i="11"/>
  <c r="G378" i="11" s="1"/>
  <c r="H377" i="11"/>
  <c r="J377" i="11" s="1"/>
  <c r="E377" i="11"/>
  <c r="G377" i="11" s="1"/>
  <c r="H376" i="11"/>
  <c r="J376" i="11" s="1"/>
  <c r="E376" i="11"/>
  <c r="G376" i="11" s="1"/>
  <c r="H375" i="11"/>
  <c r="J375" i="11" s="1"/>
  <c r="E375" i="11"/>
  <c r="G375" i="11" s="1"/>
  <c r="H374" i="11"/>
  <c r="J374" i="11" s="1"/>
  <c r="E374" i="11"/>
  <c r="G374" i="11" s="1"/>
  <c r="H373" i="11"/>
  <c r="J373" i="11" s="1"/>
  <c r="E373" i="11"/>
  <c r="G373" i="11" s="1"/>
  <c r="H372" i="11"/>
  <c r="J372" i="11" s="1"/>
  <c r="E372" i="11"/>
  <c r="G372" i="11" s="1"/>
  <c r="H371" i="11"/>
  <c r="J371" i="11" s="1"/>
  <c r="E371" i="11"/>
  <c r="G371" i="11" s="1"/>
  <c r="H370" i="11"/>
  <c r="J370" i="11" s="1"/>
  <c r="E370" i="11"/>
  <c r="G370" i="11" s="1"/>
  <c r="H369" i="11"/>
  <c r="J369" i="11" s="1"/>
  <c r="E369" i="11"/>
  <c r="G369" i="11" s="1"/>
  <c r="H368" i="11"/>
  <c r="J368" i="11" s="1"/>
  <c r="E368" i="11"/>
  <c r="G368" i="11" s="1"/>
  <c r="H367" i="11"/>
  <c r="J367" i="11" s="1"/>
  <c r="E367" i="11"/>
  <c r="G367" i="11" s="1"/>
  <c r="H366" i="11"/>
  <c r="J366" i="11" s="1"/>
  <c r="E366" i="11"/>
  <c r="G366" i="11" s="1"/>
  <c r="H365" i="11"/>
  <c r="J365" i="11" s="1"/>
  <c r="E365" i="11"/>
  <c r="G365" i="11" s="1"/>
  <c r="H364" i="11"/>
  <c r="J364" i="11" s="1"/>
  <c r="E364" i="11"/>
  <c r="G364" i="11" s="1"/>
  <c r="H363" i="11"/>
  <c r="J363" i="11" s="1"/>
  <c r="E363" i="11"/>
  <c r="G363" i="11" s="1"/>
  <c r="H362" i="11"/>
  <c r="J362" i="11" s="1"/>
  <c r="E362" i="11"/>
  <c r="G362" i="11" s="1"/>
  <c r="H361" i="11"/>
  <c r="J361" i="11" s="1"/>
  <c r="E361" i="11"/>
  <c r="G361" i="11" s="1"/>
  <c r="H360" i="11"/>
  <c r="J360" i="11" s="1"/>
  <c r="E360" i="11"/>
  <c r="G360" i="11" s="1"/>
  <c r="H359" i="11"/>
  <c r="J359" i="11" s="1"/>
  <c r="E359" i="11"/>
  <c r="G359" i="11" s="1"/>
  <c r="H358" i="11"/>
  <c r="J358" i="11" s="1"/>
  <c r="E358" i="11"/>
  <c r="G358" i="11" s="1"/>
  <c r="H357" i="11"/>
  <c r="J357" i="11" s="1"/>
  <c r="E357" i="11"/>
  <c r="G357" i="11" s="1"/>
  <c r="H356" i="11"/>
  <c r="J356" i="11" s="1"/>
  <c r="E356" i="11"/>
  <c r="G356" i="11" s="1"/>
  <c r="H355" i="11"/>
  <c r="J355" i="11" s="1"/>
  <c r="E355" i="11"/>
  <c r="G355" i="11" s="1"/>
  <c r="H354" i="11"/>
  <c r="J354" i="11" s="1"/>
  <c r="E354" i="11"/>
  <c r="G354" i="11" s="1"/>
  <c r="H353" i="11"/>
  <c r="J353" i="11" s="1"/>
  <c r="E353" i="11"/>
  <c r="G353" i="11" s="1"/>
  <c r="H352" i="11"/>
  <c r="J352" i="11" s="1"/>
  <c r="E352" i="11"/>
  <c r="G352" i="11" s="1"/>
  <c r="H351" i="11"/>
  <c r="J351" i="11" s="1"/>
  <c r="E351" i="11"/>
  <c r="G351" i="11" s="1"/>
  <c r="H350" i="11"/>
  <c r="J350" i="11" s="1"/>
  <c r="E350" i="11"/>
  <c r="G350" i="11" s="1"/>
  <c r="H349" i="11"/>
  <c r="J349" i="11" s="1"/>
  <c r="E349" i="11"/>
  <c r="G349" i="11" s="1"/>
  <c r="H348" i="11"/>
  <c r="J348" i="11" s="1"/>
  <c r="E348" i="11"/>
  <c r="G348" i="11" s="1"/>
  <c r="H347" i="11"/>
  <c r="J347" i="11" s="1"/>
  <c r="E347" i="11"/>
  <c r="G347" i="11" s="1"/>
  <c r="H346" i="11"/>
  <c r="J346" i="11" s="1"/>
  <c r="E346" i="11"/>
  <c r="G346" i="11" s="1"/>
  <c r="H345" i="11"/>
  <c r="J345" i="11" s="1"/>
  <c r="E345" i="11"/>
  <c r="G345" i="11" s="1"/>
  <c r="H344" i="11"/>
  <c r="J344" i="11" s="1"/>
  <c r="E344" i="11"/>
  <c r="G344" i="11" s="1"/>
  <c r="H343" i="11"/>
  <c r="J343" i="11" s="1"/>
  <c r="E343" i="11"/>
  <c r="G343" i="11" s="1"/>
  <c r="H342" i="11"/>
  <c r="J342" i="11" s="1"/>
  <c r="E342" i="11"/>
  <c r="G342" i="11" s="1"/>
  <c r="H341" i="11"/>
  <c r="J341" i="11" s="1"/>
  <c r="E341" i="11"/>
  <c r="G341" i="11" s="1"/>
  <c r="H340" i="11"/>
  <c r="J340" i="11" s="1"/>
  <c r="E340" i="11"/>
  <c r="G340" i="11" s="1"/>
  <c r="H339" i="11"/>
  <c r="J339" i="11" s="1"/>
  <c r="E339" i="11"/>
  <c r="G339" i="11" s="1"/>
  <c r="H338" i="11"/>
  <c r="J338" i="11" s="1"/>
  <c r="E338" i="11"/>
  <c r="G338" i="11" s="1"/>
  <c r="H337" i="11"/>
  <c r="J337" i="11" s="1"/>
  <c r="E337" i="11"/>
  <c r="G337" i="11" s="1"/>
  <c r="H336" i="11"/>
  <c r="J336" i="11" s="1"/>
  <c r="E336" i="11"/>
  <c r="G336" i="11" s="1"/>
  <c r="H335" i="11"/>
  <c r="J335" i="11" s="1"/>
  <c r="E335" i="11"/>
  <c r="G335" i="11" s="1"/>
  <c r="H334" i="11"/>
  <c r="J334" i="11" s="1"/>
  <c r="E334" i="11"/>
  <c r="G334" i="11" s="1"/>
  <c r="H333" i="11"/>
  <c r="J333" i="11" s="1"/>
  <c r="E333" i="11"/>
  <c r="G333" i="11" s="1"/>
  <c r="H332" i="11"/>
  <c r="J332" i="11" s="1"/>
  <c r="E332" i="11"/>
  <c r="G332" i="11" s="1"/>
  <c r="H331" i="11"/>
  <c r="J331" i="11" s="1"/>
  <c r="E331" i="11"/>
  <c r="G331" i="11" s="1"/>
  <c r="H330" i="11"/>
  <c r="J330" i="11" s="1"/>
  <c r="E330" i="11"/>
  <c r="G330" i="11" s="1"/>
  <c r="H329" i="11"/>
  <c r="J329" i="11" s="1"/>
  <c r="E329" i="11"/>
  <c r="G329" i="11" s="1"/>
  <c r="H328" i="11"/>
  <c r="J328" i="11" s="1"/>
  <c r="E328" i="11"/>
  <c r="G328" i="11" s="1"/>
  <c r="H327" i="11"/>
  <c r="J327" i="11" s="1"/>
  <c r="E327" i="11"/>
  <c r="G327" i="11" s="1"/>
  <c r="H326" i="11"/>
  <c r="J326" i="11" s="1"/>
  <c r="E326" i="11"/>
  <c r="G326" i="11" s="1"/>
  <c r="H325" i="11"/>
  <c r="J325" i="11" s="1"/>
  <c r="E325" i="11"/>
  <c r="G325" i="11" s="1"/>
  <c r="H324" i="11"/>
  <c r="J324" i="11" s="1"/>
  <c r="E324" i="11"/>
  <c r="G324" i="11" s="1"/>
  <c r="H323" i="11"/>
  <c r="J323" i="11" s="1"/>
  <c r="E323" i="11"/>
  <c r="G323" i="11" s="1"/>
  <c r="H322" i="11"/>
  <c r="J322" i="11" s="1"/>
  <c r="E322" i="11"/>
  <c r="G322" i="11" s="1"/>
  <c r="H321" i="11"/>
  <c r="J321" i="11" s="1"/>
  <c r="E321" i="11"/>
  <c r="G321" i="11" s="1"/>
  <c r="H320" i="11"/>
  <c r="J320" i="11" s="1"/>
  <c r="E320" i="11"/>
  <c r="G320" i="11" s="1"/>
  <c r="H319" i="11"/>
  <c r="J319" i="11" s="1"/>
  <c r="E319" i="11"/>
  <c r="G319" i="11" s="1"/>
  <c r="H318" i="11"/>
  <c r="J318" i="11" s="1"/>
  <c r="E318" i="11"/>
  <c r="G318" i="11" s="1"/>
  <c r="H317" i="11"/>
  <c r="J317" i="11" s="1"/>
  <c r="E317" i="11"/>
  <c r="G317" i="11" s="1"/>
  <c r="H316" i="11"/>
  <c r="J316" i="11" s="1"/>
  <c r="E316" i="11"/>
  <c r="G316" i="11" s="1"/>
  <c r="H315" i="11"/>
  <c r="J315" i="11" s="1"/>
  <c r="E315" i="11"/>
  <c r="G315" i="11" s="1"/>
  <c r="H314" i="11"/>
  <c r="J314" i="11" s="1"/>
  <c r="E314" i="11"/>
  <c r="G314" i="11" s="1"/>
  <c r="H313" i="11"/>
  <c r="J313" i="11" s="1"/>
  <c r="E313" i="11"/>
  <c r="G313" i="11" s="1"/>
  <c r="H312" i="11"/>
  <c r="J312" i="11" s="1"/>
  <c r="E312" i="11"/>
  <c r="G312" i="11" s="1"/>
  <c r="H311" i="11"/>
  <c r="J311" i="11" s="1"/>
  <c r="E311" i="11"/>
  <c r="G311" i="11" s="1"/>
  <c r="H310" i="11"/>
  <c r="J310" i="11" s="1"/>
  <c r="E310" i="11"/>
  <c r="G310" i="11" s="1"/>
  <c r="H309" i="11"/>
  <c r="J309" i="11" s="1"/>
  <c r="E309" i="11"/>
  <c r="G309" i="11" s="1"/>
  <c r="H308" i="11"/>
  <c r="J308" i="11" s="1"/>
  <c r="E308" i="11"/>
  <c r="G308" i="11" s="1"/>
  <c r="H307" i="11"/>
  <c r="J307" i="11" s="1"/>
  <c r="E307" i="11"/>
  <c r="G307" i="11" s="1"/>
  <c r="H306" i="11"/>
  <c r="J306" i="11" s="1"/>
  <c r="E306" i="11"/>
  <c r="G306" i="11" s="1"/>
  <c r="H305" i="11"/>
  <c r="J305" i="11" s="1"/>
  <c r="E305" i="11"/>
  <c r="G305" i="11" s="1"/>
  <c r="H304" i="11"/>
  <c r="J304" i="11" s="1"/>
  <c r="E304" i="11"/>
  <c r="G304" i="11" s="1"/>
  <c r="H303" i="11"/>
  <c r="J303" i="11" s="1"/>
  <c r="E303" i="11"/>
  <c r="G303" i="11" s="1"/>
  <c r="H302" i="11"/>
  <c r="J302" i="11" s="1"/>
  <c r="E302" i="11"/>
  <c r="G302" i="11" s="1"/>
  <c r="H301" i="11"/>
  <c r="J301" i="11" s="1"/>
  <c r="E301" i="11"/>
  <c r="G301" i="11" s="1"/>
  <c r="H300" i="11"/>
  <c r="J300" i="11" s="1"/>
  <c r="E300" i="11"/>
  <c r="G300" i="11" s="1"/>
  <c r="H299" i="11"/>
  <c r="J299" i="11" s="1"/>
  <c r="E299" i="11"/>
  <c r="G299" i="11" s="1"/>
  <c r="H298" i="11"/>
  <c r="J298" i="11" s="1"/>
  <c r="E298" i="11"/>
  <c r="G298" i="11" s="1"/>
  <c r="H297" i="11"/>
  <c r="J297" i="11" s="1"/>
  <c r="E297" i="11"/>
  <c r="G297" i="11" s="1"/>
  <c r="H296" i="11"/>
  <c r="J296" i="11" s="1"/>
  <c r="E296" i="11"/>
  <c r="G296" i="11" s="1"/>
  <c r="H295" i="11"/>
  <c r="J295" i="11" s="1"/>
  <c r="E295" i="11"/>
  <c r="G295" i="11" s="1"/>
  <c r="H294" i="11"/>
  <c r="J294" i="11" s="1"/>
  <c r="E294" i="11"/>
  <c r="G294" i="11" s="1"/>
  <c r="H293" i="11"/>
  <c r="J293" i="11" s="1"/>
  <c r="E293" i="11"/>
  <c r="G293" i="11" s="1"/>
  <c r="H292" i="11"/>
  <c r="J292" i="11" s="1"/>
  <c r="E292" i="11"/>
  <c r="G292" i="11" s="1"/>
  <c r="H291" i="11"/>
  <c r="J291" i="11" s="1"/>
  <c r="E291" i="11"/>
  <c r="G291" i="11" s="1"/>
  <c r="H290" i="11"/>
  <c r="J290" i="11" s="1"/>
  <c r="E290" i="11"/>
  <c r="G290" i="11" s="1"/>
  <c r="H289" i="11"/>
  <c r="J289" i="11" s="1"/>
  <c r="E289" i="11"/>
  <c r="G289" i="11" s="1"/>
  <c r="H288" i="11"/>
  <c r="J288" i="11" s="1"/>
  <c r="E288" i="11"/>
  <c r="G288" i="11" s="1"/>
  <c r="H287" i="11"/>
  <c r="J287" i="11" s="1"/>
  <c r="E287" i="11"/>
  <c r="G287" i="11" s="1"/>
  <c r="H286" i="11"/>
  <c r="J286" i="11" s="1"/>
  <c r="E286" i="11"/>
  <c r="G286" i="11" s="1"/>
  <c r="H285" i="11"/>
  <c r="J285" i="11" s="1"/>
  <c r="E285" i="11"/>
  <c r="G285" i="11" s="1"/>
  <c r="H284" i="11"/>
  <c r="J284" i="11" s="1"/>
  <c r="E284" i="11"/>
  <c r="G284" i="11" s="1"/>
  <c r="H283" i="11"/>
  <c r="J283" i="11" s="1"/>
  <c r="E283" i="11"/>
  <c r="G283" i="11" s="1"/>
  <c r="H282" i="11"/>
  <c r="J282" i="11" s="1"/>
  <c r="E282" i="11"/>
  <c r="G282" i="11" s="1"/>
  <c r="H281" i="11"/>
  <c r="J281" i="11" s="1"/>
  <c r="E281" i="11"/>
  <c r="G281" i="11" s="1"/>
  <c r="H280" i="11"/>
  <c r="J280" i="11" s="1"/>
  <c r="E280" i="11"/>
  <c r="G280" i="11" s="1"/>
  <c r="H279" i="11"/>
  <c r="J279" i="11" s="1"/>
  <c r="E279" i="11"/>
  <c r="G279" i="11" s="1"/>
  <c r="H278" i="11"/>
  <c r="J278" i="11" s="1"/>
  <c r="E278" i="11"/>
  <c r="G278" i="11" s="1"/>
  <c r="H277" i="11"/>
  <c r="J277" i="11" s="1"/>
  <c r="E277" i="11"/>
  <c r="G277" i="11" s="1"/>
  <c r="H276" i="11"/>
  <c r="J276" i="11" s="1"/>
  <c r="E276" i="11"/>
  <c r="G276" i="11" s="1"/>
  <c r="H275" i="11"/>
  <c r="J275" i="11" s="1"/>
  <c r="E275" i="11"/>
  <c r="G275" i="11" s="1"/>
  <c r="H274" i="11"/>
  <c r="J274" i="11" s="1"/>
  <c r="E274" i="11"/>
  <c r="G274" i="11" s="1"/>
  <c r="H273" i="11"/>
  <c r="J273" i="11" s="1"/>
  <c r="E273" i="11"/>
  <c r="G273" i="11" s="1"/>
  <c r="H272" i="11"/>
  <c r="J272" i="11" s="1"/>
  <c r="E272" i="11"/>
  <c r="G272" i="11" s="1"/>
  <c r="H271" i="11"/>
  <c r="J271" i="11" s="1"/>
  <c r="E271" i="11"/>
  <c r="G271" i="11" s="1"/>
  <c r="H270" i="11"/>
  <c r="J270" i="11" s="1"/>
  <c r="E270" i="11"/>
  <c r="G270" i="11" s="1"/>
  <c r="H269" i="11"/>
  <c r="J269" i="11" s="1"/>
  <c r="E269" i="11"/>
  <c r="G269" i="11" s="1"/>
  <c r="H268" i="11"/>
  <c r="J268" i="11" s="1"/>
  <c r="E268" i="11"/>
  <c r="G268" i="11" s="1"/>
  <c r="H267" i="11"/>
  <c r="J267" i="11" s="1"/>
  <c r="E267" i="11"/>
  <c r="G267" i="11" s="1"/>
  <c r="H266" i="11"/>
  <c r="J266" i="11" s="1"/>
  <c r="E266" i="11"/>
  <c r="G266" i="11" s="1"/>
  <c r="H265" i="11"/>
  <c r="J265" i="11" s="1"/>
  <c r="E265" i="11"/>
  <c r="G265" i="11" s="1"/>
  <c r="H264" i="11"/>
  <c r="J264" i="11" s="1"/>
  <c r="E264" i="11"/>
  <c r="G264" i="11" s="1"/>
  <c r="H263" i="11"/>
  <c r="J263" i="11" s="1"/>
  <c r="E263" i="11"/>
  <c r="G263" i="11" s="1"/>
  <c r="H262" i="11"/>
  <c r="J262" i="11" s="1"/>
  <c r="E262" i="11"/>
  <c r="G262" i="11" s="1"/>
  <c r="H261" i="11"/>
  <c r="J261" i="11" s="1"/>
  <c r="E261" i="11"/>
  <c r="G261" i="11" s="1"/>
  <c r="H260" i="11"/>
  <c r="J260" i="11" s="1"/>
  <c r="E260" i="11"/>
  <c r="G260" i="11" s="1"/>
  <c r="H259" i="11"/>
  <c r="J259" i="11" s="1"/>
  <c r="E259" i="11"/>
  <c r="G259" i="11" s="1"/>
  <c r="H258" i="11"/>
  <c r="J258" i="11" s="1"/>
  <c r="E258" i="11"/>
  <c r="G258" i="11" s="1"/>
  <c r="H257" i="11"/>
  <c r="J257" i="11" s="1"/>
  <c r="E257" i="11"/>
  <c r="G257" i="11" s="1"/>
  <c r="H256" i="11"/>
  <c r="J256" i="11" s="1"/>
  <c r="E256" i="11"/>
  <c r="G256" i="11" s="1"/>
  <c r="H255" i="11"/>
  <c r="J255" i="11" s="1"/>
  <c r="E255" i="11"/>
  <c r="G255" i="11" s="1"/>
  <c r="H254" i="11"/>
  <c r="J254" i="11" s="1"/>
  <c r="E254" i="11"/>
  <c r="G254" i="11" s="1"/>
  <c r="H253" i="11"/>
  <c r="J253" i="11" s="1"/>
  <c r="E253" i="11"/>
  <c r="G253" i="11" s="1"/>
  <c r="H252" i="11"/>
  <c r="J252" i="11" s="1"/>
  <c r="E252" i="11"/>
  <c r="G252" i="11" s="1"/>
  <c r="H251" i="11"/>
  <c r="J251" i="11" s="1"/>
  <c r="E251" i="11"/>
  <c r="G251" i="11" s="1"/>
  <c r="H250" i="11"/>
  <c r="J250" i="11" s="1"/>
  <c r="E250" i="11"/>
  <c r="G250" i="11" s="1"/>
  <c r="H249" i="11"/>
  <c r="J249" i="11" s="1"/>
  <c r="E249" i="11"/>
  <c r="G249" i="11" s="1"/>
  <c r="H248" i="11"/>
  <c r="J248" i="11" s="1"/>
  <c r="E248" i="11"/>
  <c r="G248" i="11" s="1"/>
  <c r="H247" i="11"/>
  <c r="J247" i="11" s="1"/>
  <c r="E247" i="11"/>
  <c r="G247" i="11" s="1"/>
  <c r="H246" i="11"/>
  <c r="J246" i="11" s="1"/>
  <c r="E246" i="11"/>
  <c r="G246" i="11" s="1"/>
  <c r="H245" i="11"/>
  <c r="J245" i="11" s="1"/>
  <c r="E245" i="11"/>
  <c r="G245" i="11" s="1"/>
  <c r="H244" i="11"/>
  <c r="J244" i="11" s="1"/>
  <c r="E244" i="11"/>
  <c r="G244" i="11" s="1"/>
  <c r="H243" i="11"/>
  <c r="J243" i="11" s="1"/>
  <c r="E243" i="11"/>
  <c r="G243" i="11" s="1"/>
  <c r="H242" i="11"/>
  <c r="J242" i="11" s="1"/>
  <c r="E242" i="11"/>
  <c r="G242" i="11" s="1"/>
  <c r="H241" i="11"/>
  <c r="J241" i="11" s="1"/>
  <c r="E241" i="11"/>
  <c r="G241" i="11" s="1"/>
  <c r="H240" i="11"/>
  <c r="J240" i="11" s="1"/>
  <c r="E240" i="11"/>
  <c r="G240" i="11" s="1"/>
  <c r="H239" i="11"/>
  <c r="J239" i="11" s="1"/>
  <c r="E239" i="11"/>
  <c r="G239" i="11" s="1"/>
  <c r="H238" i="11"/>
  <c r="J238" i="11" s="1"/>
  <c r="E238" i="11"/>
  <c r="G238" i="11" s="1"/>
  <c r="H237" i="11"/>
  <c r="J237" i="11" s="1"/>
  <c r="E237" i="11"/>
  <c r="G237" i="11" s="1"/>
  <c r="H236" i="11"/>
  <c r="J236" i="11" s="1"/>
  <c r="E236" i="11"/>
  <c r="G236" i="11" s="1"/>
  <c r="H235" i="11"/>
  <c r="J235" i="11" s="1"/>
  <c r="E235" i="11"/>
  <c r="G235" i="11" s="1"/>
  <c r="H234" i="11"/>
  <c r="J234" i="11" s="1"/>
  <c r="E234" i="11"/>
  <c r="G234" i="11" s="1"/>
  <c r="H233" i="11"/>
  <c r="J233" i="11" s="1"/>
  <c r="E233" i="11"/>
  <c r="G233" i="11" s="1"/>
  <c r="H232" i="11"/>
  <c r="J232" i="11" s="1"/>
  <c r="E232" i="11"/>
  <c r="G232" i="11" s="1"/>
  <c r="H231" i="11"/>
  <c r="J231" i="11" s="1"/>
  <c r="E231" i="11"/>
  <c r="G231" i="11" s="1"/>
  <c r="H230" i="11"/>
  <c r="J230" i="11" s="1"/>
  <c r="E230" i="11"/>
  <c r="G230" i="11" s="1"/>
  <c r="H229" i="11"/>
  <c r="J229" i="11" s="1"/>
  <c r="E229" i="11"/>
  <c r="G229" i="11" s="1"/>
  <c r="H228" i="11"/>
  <c r="J228" i="11" s="1"/>
  <c r="E228" i="11"/>
  <c r="G228" i="11" s="1"/>
  <c r="H227" i="11"/>
  <c r="J227" i="11" s="1"/>
  <c r="E227" i="11"/>
  <c r="G227" i="11" s="1"/>
  <c r="H226" i="11"/>
  <c r="J226" i="11" s="1"/>
  <c r="E226" i="11"/>
  <c r="G226" i="11" s="1"/>
  <c r="H225" i="11"/>
  <c r="J225" i="11" s="1"/>
  <c r="E225" i="11"/>
  <c r="G225" i="11" s="1"/>
  <c r="H224" i="11"/>
  <c r="J224" i="11" s="1"/>
  <c r="E224" i="11"/>
  <c r="G224" i="11" s="1"/>
  <c r="H223" i="11"/>
  <c r="J223" i="11" s="1"/>
  <c r="E223" i="11"/>
  <c r="G223" i="11" s="1"/>
  <c r="H222" i="11"/>
  <c r="J222" i="11" s="1"/>
  <c r="E222" i="11"/>
  <c r="G222" i="11" s="1"/>
  <c r="H221" i="11"/>
  <c r="J221" i="11" s="1"/>
  <c r="E221" i="11"/>
  <c r="G221" i="11" s="1"/>
  <c r="H220" i="11"/>
  <c r="J220" i="11" s="1"/>
  <c r="E220" i="11"/>
  <c r="G220" i="11" s="1"/>
  <c r="H219" i="11"/>
  <c r="J219" i="11" s="1"/>
  <c r="E219" i="11"/>
  <c r="G219" i="11" s="1"/>
  <c r="H218" i="11"/>
  <c r="J218" i="11" s="1"/>
  <c r="E218" i="11"/>
  <c r="G218" i="11" s="1"/>
  <c r="H217" i="11"/>
  <c r="J217" i="11" s="1"/>
  <c r="E217" i="11"/>
  <c r="G217" i="11" s="1"/>
  <c r="H216" i="11"/>
  <c r="J216" i="11" s="1"/>
  <c r="E216" i="11"/>
  <c r="G216" i="11" s="1"/>
  <c r="H215" i="11"/>
  <c r="J215" i="11" s="1"/>
  <c r="E215" i="11"/>
  <c r="G215" i="11" s="1"/>
  <c r="H214" i="11"/>
  <c r="J214" i="11" s="1"/>
  <c r="E214" i="11"/>
  <c r="G214" i="11" s="1"/>
  <c r="H213" i="11"/>
  <c r="J213" i="11" s="1"/>
  <c r="E213" i="11"/>
  <c r="G213" i="11" s="1"/>
  <c r="H212" i="11"/>
  <c r="J212" i="11" s="1"/>
  <c r="E212" i="11"/>
  <c r="G212" i="11" s="1"/>
  <c r="H211" i="11"/>
  <c r="J211" i="11" s="1"/>
  <c r="E211" i="11"/>
  <c r="G211" i="11" s="1"/>
  <c r="H210" i="11"/>
  <c r="J210" i="11" s="1"/>
  <c r="E210" i="11"/>
  <c r="G210" i="11" s="1"/>
  <c r="H209" i="11"/>
  <c r="J209" i="11" s="1"/>
  <c r="E209" i="11"/>
  <c r="G209" i="11" s="1"/>
  <c r="H208" i="11"/>
  <c r="J208" i="11" s="1"/>
  <c r="E208" i="11"/>
  <c r="G208" i="11" s="1"/>
  <c r="H207" i="11"/>
  <c r="J207" i="11" s="1"/>
  <c r="E207" i="11"/>
  <c r="G207" i="11" s="1"/>
  <c r="H206" i="11"/>
  <c r="J206" i="11" s="1"/>
  <c r="E206" i="11"/>
  <c r="G206" i="11" s="1"/>
  <c r="H205" i="11"/>
  <c r="J205" i="11" s="1"/>
  <c r="E205" i="11"/>
  <c r="G205" i="11" s="1"/>
  <c r="H204" i="11"/>
  <c r="J204" i="11" s="1"/>
  <c r="E204" i="11"/>
  <c r="G204" i="11" s="1"/>
  <c r="H203" i="11"/>
  <c r="J203" i="11" s="1"/>
  <c r="E203" i="11"/>
  <c r="G203" i="11" s="1"/>
  <c r="H202" i="11"/>
  <c r="J202" i="11" s="1"/>
  <c r="E202" i="11"/>
  <c r="G202" i="11" s="1"/>
  <c r="H201" i="11"/>
  <c r="J201" i="11" s="1"/>
  <c r="E201" i="11"/>
  <c r="G201" i="11" s="1"/>
  <c r="H200" i="11"/>
  <c r="J200" i="11" s="1"/>
  <c r="E200" i="11"/>
  <c r="G200" i="11" s="1"/>
  <c r="H199" i="11"/>
  <c r="J199" i="11" s="1"/>
  <c r="E199" i="11"/>
  <c r="G199" i="11" s="1"/>
  <c r="H198" i="11"/>
  <c r="J198" i="11" s="1"/>
  <c r="E198" i="11"/>
  <c r="G198" i="11" s="1"/>
  <c r="H197" i="11"/>
  <c r="J197" i="11" s="1"/>
  <c r="E197" i="11"/>
  <c r="G197" i="11" s="1"/>
  <c r="H196" i="11"/>
  <c r="J196" i="11" s="1"/>
  <c r="E196" i="11"/>
  <c r="G196" i="11" s="1"/>
  <c r="H195" i="11"/>
  <c r="J195" i="11" s="1"/>
  <c r="E195" i="11"/>
  <c r="G195" i="11" s="1"/>
  <c r="H194" i="11"/>
  <c r="J194" i="11" s="1"/>
  <c r="E194" i="11"/>
  <c r="G194" i="11" s="1"/>
  <c r="H193" i="11"/>
  <c r="J193" i="11" s="1"/>
  <c r="E193" i="11"/>
  <c r="G193" i="11" s="1"/>
  <c r="H192" i="11"/>
  <c r="J192" i="11" s="1"/>
  <c r="E192" i="11"/>
  <c r="G192" i="11" s="1"/>
  <c r="H191" i="11"/>
  <c r="J191" i="11" s="1"/>
  <c r="E191" i="11"/>
  <c r="G191" i="11" s="1"/>
  <c r="H190" i="11"/>
  <c r="J190" i="11" s="1"/>
  <c r="E190" i="11"/>
  <c r="G190" i="11" s="1"/>
  <c r="H189" i="11"/>
  <c r="J189" i="11" s="1"/>
  <c r="E189" i="11"/>
  <c r="G189" i="11" s="1"/>
  <c r="H188" i="11"/>
  <c r="J188" i="11" s="1"/>
  <c r="E188" i="11"/>
  <c r="G188" i="11" s="1"/>
  <c r="H187" i="11"/>
  <c r="J187" i="11" s="1"/>
  <c r="E187" i="11"/>
  <c r="G187" i="11" s="1"/>
  <c r="H186" i="11"/>
  <c r="J186" i="11" s="1"/>
  <c r="E186" i="11"/>
  <c r="G186" i="11" s="1"/>
  <c r="H185" i="11"/>
  <c r="J185" i="11" s="1"/>
  <c r="E185" i="11"/>
  <c r="G185" i="11" s="1"/>
  <c r="H184" i="11"/>
  <c r="J184" i="11" s="1"/>
  <c r="E184" i="11"/>
  <c r="G184" i="11" s="1"/>
  <c r="H183" i="11"/>
  <c r="J183" i="11" s="1"/>
  <c r="E183" i="11"/>
  <c r="G183" i="11" s="1"/>
  <c r="H182" i="11"/>
  <c r="J182" i="11" s="1"/>
  <c r="E182" i="11"/>
  <c r="G182" i="11" s="1"/>
  <c r="H181" i="11"/>
  <c r="J181" i="11" s="1"/>
  <c r="E181" i="11"/>
  <c r="G181" i="11" s="1"/>
  <c r="H180" i="11"/>
  <c r="J180" i="11" s="1"/>
  <c r="E180" i="11"/>
  <c r="G180" i="11" s="1"/>
  <c r="H179" i="11"/>
  <c r="J179" i="11" s="1"/>
  <c r="E179" i="11"/>
  <c r="G179" i="11" s="1"/>
  <c r="H178" i="11"/>
  <c r="J178" i="11" s="1"/>
  <c r="E178" i="11"/>
  <c r="G178" i="11" s="1"/>
  <c r="H177" i="11"/>
  <c r="J177" i="11" s="1"/>
  <c r="E177" i="11"/>
  <c r="G177" i="11" s="1"/>
  <c r="H176" i="11"/>
  <c r="J176" i="11" s="1"/>
  <c r="E176" i="11"/>
  <c r="G176" i="11" s="1"/>
  <c r="H175" i="11"/>
  <c r="J175" i="11" s="1"/>
  <c r="E175" i="11"/>
  <c r="G175" i="11" s="1"/>
  <c r="H174" i="11"/>
  <c r="J174" i="11" s="1"/>
  <c r="E174" i="11"/>
  <c r="G174" i="11" s="1"/>
  <c r="H173" i="11"/>
  <c r="J173" i="11" s="1"/>
  <c r="E173" i="11"/>
  <c r="G173" i="11" s="1"/>
  <c r="H172" i="11"/>
  <c r="J172" i="11" s="1"/>
  <c r="E172" i="11"/>
  <c r="G172" i="11" s="1"/>
  <c r="H171" i="11"/>
  <c r="J171" i="11" s="1"/>
  <c r="E171" i="11"/>
  <c r="G171" i="11" s="1"/>
  <c r="H170" i="11"/>
  <c r="J170" i="11" s="1"/>
  <c r="E170" i="11"/>
  <c r="G170" i="11" s="1"/>
  <c r="H169" i="11"/>
  <c r="J169" i="11" s="1"/>
  <c r="E169" i="11"/>
  <c r="G169" i="11" s="1"/>
  <c r="H168" i="11"/>
  <c r="J168" i="11" s="1"/>
  <c r="E168" i="11"/>
  <c r="G168" i="11" s="1"/>
  <c r="H167" i="11"/>
  <c r="J167" i="11" s="1"/>
  <c r="E167" i="11"/>
  <c r="G167" i="11" s="1"/>
  <c r="H166" i="11"/>
  <c r="J166" i="11" s="1"/>
  <c r="E166" i="11"/>
  <c r="G166" i="11" s="1"/>
  <c r="H165" i="11"/>
  <c r="J165" i="11" s="1"/>
  <c r="E165" i="11"/>
  <c r="G165" i="11" s="1"/>
  <c r="H164" i="11"/>
  <c r="J164" i="11" s="1"/>
  <c r="E164" i="11"/>
  <c r="G164" i="11" s="1"/>
  <c r="H163" i="11"/>
  <c r="J163" i="11" s="1"/>
  <c r="E163" i="11"/>
  <c r="G163" i="11" s="1"/>
  <c r="H162" i="11"/>
  <c r="J162" i="11" s="1"/>
  <c r="E162" i="11"/>
  <c r="G162" i="11" s="1"/>
  <c r="H161" i="11"/>
  <c r="J161" i="11" s="1"/>
  <c r="E161" i="11"/>
  <c r="G161" i="11" s="1"/>
  <c r="H160" i="11"/>
  <c r="J160" i="11" s="1"/>
  <c r="E160" i="11"/>
  <c r="G160" i="11" s="1"/>
  <c r="H159" i="11"/>
  <c r="J159" i="11" s="1"/>
  <c r="E159" i="11"/>
  <c r="G159" i="11" s="1"/>
  <c r="H158" i="11"/>
  <c r="J158" i="11" s="1"/>
  <c r="E158" i="11"/>
  <c r="G158" i="11" s="1"/>
  <c r="H157" i="11"/>
  <c r="J157" i="11" s="1"/>
  <c r="E157" i="11"/>
  <c r="G157" i="11" s="1"/>
  <c r="H156" i="11"/>
  <c r="J156" i="11" s="1"/>
  <c r="E156" i="11"/>
  <c r="G156" i="11" s="1"/>
  <c r="H155" i="11"/>
  <c r="J155" i="11" s="1"/>
  <c r="E155" i="11"/>
  <c r="G155" i="11" s="1"/>
  <c r="H154" i="11"/>
  <c r="J154" i="11" s="1"/>
  <c r="E154" i="11"/>
  <c r="G154" i="11" s="1"/>
  <c r="H153" i="11"/>
  <c r="J153" i="11" s="1"/>
  <c r="E153" i="11"/>
  <c r="G153" i="11" s="1"/>
  <c r="H152" i="11"/>
  <c r="J152" i="11" s="1"/>
  <c r="E152" i="11"/>
  <c r="G152" i="11" s="1"/>
  <c r="H151" i="11"/>
  <c r="J151" i="11" s="1"/>
  <c r="E151" i="11"/>
  <c r="G151" i="11" s="1"/>
  <c r="H150" i="11"/>
  <c r="J150" i="11" s="1"/>
  <c r="E150" i="11"/>
  <c r="G150" i="11" s="1"/>
  <c r="H149" i="11"/>
  <c r="J149" i="11" s="1"/>
  <c r="E149" i="11"/>
  <c r="G149" i="11" s="1"/>
  <c r="H148" i="11"/>
  <c r="J148" i="11" s="1"/>
  <c r="E148" i="11"/>
  <c r="G148" i="11" s="1"/>
  <c r="H147" i="11"/>
  <c r="J147" i="11" s="1"/>
  <c r="E147" i="11"/>
  <c r="G147" i="11" s="1"/>
  <c r="H146" i="11"/>
  <c r="J146" i="11" s="1"/>
  <c r="E146" i="11"/>
  <c r="G146" i="11" s="1"/>
  <c r="H145" i="11"/>
  <c r="J145" i="11" s="1"/>
  <c r="E145" i="11"/>
  <c r="G145" i="11" s="1"/>
  <c r="H144" i="11"/>
  <c r="J144" i="11" s="1"/>
  <c r="E144" i="11"/>
  <c r="G144" i="11" s="1"/>
  <c r="H143" i="11"/>
  <c r="J143" i="11" s="1"/>
  <c r="E143" i="11"/>
  <c r="G143" i="11" s="1"/>
  <c r="H142" i="11"/>
  <c r="J142" i="11" s="1"/>
  <c r="E142" i="11"/>
  <c r="G142" i="11" s="1"/>
  <c r="H141" i="11"/>
  <c r="J141" i="11" s="1"/>
  <c r="E141" i="11"/>
  <c r="G141" i="11" s="1"/>
  <c r="H140" i="11"/>
  <c r="J140" i="11" s="1"/>
  <c r="E140" i="11"/>
  <c r="G140" i="11" s="1"/>
  <c r="H139" i="11"/>
  <c r="J139" i="11" s="1"/>
  <c r="E139" i="11"/>
  <c r="G139" i="11" s="1"/>
  <c r="H138" i="11"/>
  <c r="J138" i="11" s="1"/>
  <c r="E138" i="11"/>
  <c r="G138" i="11" s="1"/>
  <c r="H137" i="11"/>
  <c r="J137" i="11" s="1"/>
  <c r="E137" i="11"/>
  <c r="G137" i="11" s="1"/>
  <c r="H136" i="11"/>
  <c r="J136" i="11" s="1"/>
  <c r="E136" i="11"/>
  <c r="G136" i="11" s="1"/>
  <c r="H135" i="11"/>
  <c r="J135" i="11" s="1"/>
  <c r="E135" i="11"/>
  <c r="G135" i="11" s="1"/>
  <c r="H134" i="11"/>
  <c r="J134" i="11" s="1"/>
  <c r="E134" i="11"/>
  <c r="G134" i="11" s="1"/>
  <c r="H133" i="11"/>
  <c r="J133" i="11" s="1"/>
  <c r="E133" i="11"/>
  <c r="G133" i="11" s="1"/>
  <c r="H132" i="11"/>
  <c r="J132" i="11" s="1"/>
  <c r="E132" i="11"/>
  <c r="G132" i="11" s="1"/>
  <c r="H131" i="11"/>
  <c r="J131" i="11" s="1"/>
  <c r="E131" i="11"/>
  <c r="G131" i="11" s="1"/>
  <c r="H130" i="11"/>
  <c r="J130" i="11" s="1"/>
  <c r="E130" i="11"/>
  <c r="G130" i="11" s="1"/>
  <c r="H129" i="11"/>
  <c r="J129" i="11" s="1"/>
  <c r="E129" i="11"/>
  <c r="G129" i="11" s="1"/>
  <c r="H128" i="11"/>
  <c r="J128" i="11" s="1"/>
  <c r="E128" i="11"/>
  <c r="G128" i="11" s="1"/>
  <c r="H127" i="11"/>
  <c r="J127" i="11" s="1"/>
  <c r="E127" i="11"/>
  <c r="G127" i="11" s="1"/>
  <c r="H126" i="11"/>
  <c r="J126" i="11" s="1"/>
  <c r="E126" i="11"/>
  <c r="G126" i="11" s="1"/>
  <c r="H125" i="11"/>
  <c r="J125" i="11" s="1"/>
  <c r="E125" i="11"/>
  <c r="G125" i="11" s="1"/>
  <c r="H124" i="11"/>
  <c r="J124" i="11" s="1"/>
  <c r="E124" i="11"/>
  <c r="G124" i="11" s="1"/>
  <c r="H122" i="11"/>
  <c r="J122" i="11" s="1"/>
  <c r="E122" i="11"/>
  <c r="G122" i="11" s="1"/>
  <c r="H121" i="11"/>
  <c r="J121" i="11" s="1"/>
  <c r="E121" i="11"/>
  <c r="G121" i="11" s="1"/>
  <c r="H120" i="11"/>
  <c r="J120" i="11" s="1"/>
  <c r="E120" i="11"/>
  <c r="G120" i="11" s="1"/>
  <c r="H119" i="11"/>
  <c r="J119" i="11" s="1"/>
  <c r="E119" i="11"/>
  <c r="G119" i="11" s="1"/>
  <c r="H118" i="11"/>
  <c r="J118" i="11" s="1"/>
  <c r="E118" i="11"/>
  <c r="G118" i="11" s="1"/>
  <c r="H117" i="11"/>
  <c r="J117" i="11" s="1"/>
  <c r="E117" i="11"/>
  <c r="G117" i="11" s="1"/>
  <c r="H116" i="11"/>
  <c r="J116" i="11" s="1"/>
  <c r="E116" i="11"/>
  <c r="G116" i="11" s="1"/>
  <c r="H115" i="11"/>
  <c r="J115" i="11" s="1"/>
  <c r="E115" i="11"/>
  <c r="G115" i="11" s="1"/>
  <c r="H114" i="11"/>
  <c r="J114" i="11" s="1"/>
  <c r="E114" i="11"/>
  <c r="G114" i="11" s="1"/>
  <c r="H113" i="11"/>
  <c r="J113" i="11" s="1"/>
  <c r="E113" i="11"/>
  <c r="G113" i="11" s="1"/>
  <c r="H112" i="11"/>
  <c r="J112" i="11" s="1"/>
  <c r="E112" i="11"/>
  <c r="G112" i="11" s="1"/>
  <c r="H111" i="11"/>
  <c r="J111" i="11" s="1"/>
  <c r="E111" i="11"/>
  <c r="G111" i="11" s="1"/>
  <c r="H110" i="11"/>
  <c r="J110" i="11" s="1"/>
  <c r="E110" i="11"/>
  <c r="G110" i="11" s="1"/>
  <c r="H109" i="11"/>
  <c r="J109" i="11" s="1"/>
  <c r="E109" i="11"/>
  <c r="G109" i="11" s="1"/>
  <c r="H108" i="11"/>
  <c r="J108" i="11" s="1"/>
  <c r="E108" i="11"/>
  <c r="G108" i="11" s="1"/>
  <c r="H107" i="11"/>
  <c r="J107" i="11" s="1"/>
  <c r="E107" i="11"/>
  <c r="G107" i="11" s="1"/>
  <c r="H106" i="11"/>
  <c r="J106" i="11" s="1"/>
  <c r="E106" i="11"/>
  <c r="G106" i="11" s="1"/>
  <c r="H105" i="11"/>
  <c r="J105" i="11" s="1"/>
  <c r="E105" i="11"/>
  <c r="G105" i="11" s="1"/>
  <c r="H104" i="11"/>
  <c r="J104" i="11" s="1"/>
  <c r="E104" i="11"/>
  <c r="G104" i="11" s="1"/>
  <c r="H103" i="11"/>
  <c r="J103" i="11" s="1"/>
  <c r="E103" i="11"/>
  <c r="G103" i="11" s="1"/>
  <c r="H102" i="11"/>
  <c r="J102" i="11" s="1"/>
  <c r="E102" i="11"/>
  <c r="G102" i="11" s="1"/>
  <c r="H101" i="11"/>
  <c r="J101" i="11" s="1"/>
  <c r="E101" i="11"/>
  <c r="G101" i="11" s="1"/>
  <c r="H100" i="11"/>
  <c r="J100" i="11" s="1"/>
  <c r="E100" i="11"/>
  <c r="G100" i="11" s="1"/>
  <c r="H99" i="11"/>
  <c r="J99" i="11" s="1"/>
  <c r="E99" i="11"/>
  <c r="G99" i="11" s="1"/>
  <c r="H98" i="11"/>
  <c r="J98" i="11" s="1"/>
  <c r="E98" i="11"/>
  <c r="G98" i="11" s="1"/>
  <c r="H97" i="11"/>
  <c r="J97" i="11" s="1"/>
  <c r="E97" i="11"/>
  <c r="G97" i="11" s="1"/>
  <c r="H96" i="11"/>
  <c r="J96" i="11" s="1"/>
  <c r="E96" i="11"/>
  <c r="G96" i="11" s="1"/>
  <c r="H95" i="11"/>
  <c r="J95" i="11" s="1"/>
  <c r="E95" i="11"/>
  <c r="G95" i="11" s="1"/>
  <c r="H94" i="11"/>
  <c r="J94" i="11" s="1"/>
  <c r="E94" i="11"/>
  <c r="G94" i="11" s="1"/>
  <c r="H93" i="11"/>
  <c r="J93" i="11" s="1"/>
  <c r="E93" i="11"/>
  <c r="G93" i="11" s="1"/>
  <c r="H92" i="11"/>
  <c r="J92" i="11" s="1"/>
  <c r="E92" i="11"/>
  <c r="G92" i="11" s="1"/>
  <c r="H91" i="11"/>
  <c r="J91" i="11" s="1"/>
  <c r="E91" i="11"/>
  <c r="G91" i="11" s="1"/>
  <c r="H90" i="11"/>
  <c r="J90" i="11" s="1"/>
  <c r="E90" i="11"/>
  <c r="G90" i="11" s="1"/>
  <c r="H89" i="11"/>
  <c r="J89" i="11" s="1"/>
  <c r="E89" i="11"/>
  <c r="G89" i="11" s="1"/>
  <c r="H88" i="11"/>
  <c r="J88" i="11" s="1"/>
  <c r="E88" i="11"/>
  <c r="G88" i="11" s="1"/>
  <c r="H87" i="11"/>
  <c r="J87" i="11" s="1"/>
  <c r="E87" i="11"/>
  <c r="G87" i="11" s="1"/>
  <c r="H86" i="11"/>
  <c r="J86" i="11" s="1"/>
  <c r="E86" i="11"/>
  <c r="G86" i="11" s="1"/>
  <c r="H85" i="11"/>
  <c r="J85" i="11" s="1"/>
  <c r="E85" i="11"/>
  <c r="G85" i="11" s="1"/>
  <c r="H84" i="11"/>
  <c r="J84" i="11" s="1"/>
  <c r="E84" i="11"/>
  <c r="G84" i="11" s="1"/>
  <c r="H83" i="11"/>
  <c r="J83" i="11" s="1"/>
  <c r="E83" i="11"/>
  <c r="G83" i="11" s="1"/>
  <c r="H82" i="11"/>
  <c r="J82" i="11" s="1"/>
  <c r="E82" i="11"/>
  <c r="G82" i="11" s="1"/>
  <c r="H81" i="11"/>
  <c r="J81" i="11" s="1"/>
  <c r="E81" i="11"/>
  <c r="G81" i="11" s="1"/>
  <c r="H80" i="11"/>
  <c r="J80" i="11" s="1"/>
  <c r="E80" i="11"/>
  <c r="G80" i="11" s="1"/>
  <c r="H79" i="11"/>
  <c r="J79" i="11" s="1"/>
  <c r="E79" i="11"/>
  <c r="G79" i="11" s="1"/>
  <c r="H78" i="11"/>
  <c r="J78" i="11" s="1"/>
  <c r="E78" i="11"/>
  <c r="G78" i="11" s="1"/>
  <c r="H77" i="11"/>
  <c r="J77" i="11" s="1"/>
  <c r="E77" i="11"/>
  <c r="G77" i="11" s="1"/>
  <c r="H76" i="11"/>
  <c r="J76" i="11" s="1"/>
  <c r="E76" i="11"/>
  <c r="G76" i="11" s="1"/>
  <c r="H75" i="11"/>
  <c r="J75" i="11" s="1"/>
  <c r="E75" i="11"/>
  <c r="G75" i="11" s="1"/>
  <c r="H74" i="11"/>
  <c r="J74" i="11" s="1"/>
  <c r="E74" i="11"/>
  <c r="G74" i="11" s="1"/>
  <c r="H73" i="11"/>
  <c r="J73" i="11" s="1"/>
  <c r="E73" i="11"/>
  <c r="G73" i="11" s="1"/>
  <c r="H72" i="11"/>
  <c r="J72" i="11" s="1"/>
  <c r="E72" i="11"/>
  <c r="G72" i="11" s="1"/>
  <c r="H71" i="11"/>
  <c r="J71" i="11" s="1"/>
  <c r="E71" i="11"/>
  <c r="G71" i="11" s="1"/>
  <c r="H70" i="11"/>
  <c r="J70" i="11" s="1"/>
  <c r="E70" i="11"/>
  <c r="G70" i="11" s="1"/>
  <c r="H69" i="11"/>
  <c r="J69" i="11" s="1"/>
  <c r="E69" i="11"/>
  <c r="G69" i="11" s="1"/>
  <c r="H68" i="11"/>
  <c r="J68" i="11" s="1"/>
  <c r="E68" i="11"/>
  <c r="G68" i="11" s="1"/>
  <c r="H67" i="11"/>
  <c r="J67" i="11" s="1"/>
  <c r="E67" i="11"/>
  <c r="G67" i="11" s="1"/>
  <c r="H66" i="11"/>
  <c r="J66" i="11" s="1"/>
  <c r="E66" i="11"/>
  <c r="G66" i="11" s="1"/>
  <c r="H65" i="11"/>
  <c r="J65" i="11" s="1"/>
  <c r="E65" i="11"/>
  <c r="G65" i="11" s="1"/>
  <c r="H64" i="11"/>
  <c r="J64" i="11" s="1"/>
  <c r="E64" i="11"/>
  <c r="G64" i="11" s="1"/>
  <c r="H63" i="11"/>
  <c r="J63" i="11" s="1"/>
  <c r="E63" i="11"/>
  <c r="G63" i="11" s="1"/>
  <c r="H62" i="11"/>
  <c r="J62" i="11" s="1"/>
  <c r="E62" i="11"/>
  <c r="G62" i="11" s="1"/>
  <c r="H61" i="11"/>
  <c r="J61" i="11" s="1"/>
  <c r="E61" i="11"/>
  <c r="G61" i="11" s="1"/>
  <c r="H60" i="11"/>
  <c r="J60" i="11" s="1"/>
  <c r="E60" i="11"/>
  <c r="G60" i="11" s="1"/>
  <c r="H59" i="11"/>
  <c r="J59" i="11" s="1"/>
  <c r="E59" i="11"/>
  <c r="G59" i="11" s="1"/>
  <c r="H58" i="11"/>
  <c r="J58" i="11" s="1"/>
  <c r="E58" i="11"/>
  <c r="G58" i="11" s="1"/>
  <c r="H57" i="11"/>
  <c r="J57" i="11" s="1"/>
  <c r="E57" i="11"/>
  <c r="G57" i="11" s="1"/>
  <c r="H56" i="11"/>
  <c r="J56" i="11" s="1"/>
  <c r="E56" i="11"/>
  <c r="G56" i="11" s="1"/>
  <c r="H55" i="11"/>
  <c r="J55" i="11" s="1"/>
  <c r="E55" i="11"/>
  <c r="G55" i="11" s="1"/>
  <c r="H54" i="11"/>
  <c r="J54" i="11" s="1"/>
  <c r="E54" i="11"/>
  <c r="G54" i="11" s="1"/>
  <c r="H53" i="11"/>
  <c r="J53" i="11" s="1"/>
  <c r="E53" i="11"/>
  <c r="G53" i="11" s="1"/>
  <c r="H52" i="11"/>
  <c r="J52" i="11" s="1"/>
  <c r="E52" i="11"/>
  <c r="G52" i="11" s="1"/>
  <c r="H51" i="11"/>
  <c r="J51" i="11" s="1"/>
  <c r="E51" i="11"/>
  <c r="G51" i="11" s="1"/>
  <c r="H50" i="11"/>
  <c r="J50" i="11" s="1"/>
  <c r="E50" i="11"/>
  <c r="G50" i="11" s="1"/>
  <c r="H49" i="11"/>
  <c r="J49" i="11" s="1"/>
  <c r="E49" i="11"/>
  <c r="G49" i="11" s="1"/>
  <c r="H48" i="11"/>
  <c r="J48" i="11" s="1"/>
  <c r="E48" i="11"/>
  <c r="G48" i="11" s="1"/>
  <c r="H47" i="11"/>
  <c r="J47" i="11" s="1"/>
  <c r="E47" i="11"/>
  <c r="G47" i="11" s="1"/>
  <c r="H46" i="11"/>
  <c r="J46" i="11" s="1"/>
  <c r="E46" i="11"/>
  <c r="G46" i="11" s="1"/>
  <c r="H45" i="11"/>
  <c r="J45" i="11" s="1"/>
  <c r="E45" i="11"/>
  <c r="G45" i="11" s="1"/>
  <c r="H44" i="11"/>
  <c r="J44" i="11" s="1"/>
  <c r="E44" i="11"/>
  <c r="G44" i="11" s="1"/>
  <c r="H43" i="11"/>
  <c r="J43" i="11" s="1"/>
  <c r="E43" i="11"/>
  <c r="G43" i="11" s="1"/>
  <c r="H42" i="11"/>
  <c r="J42" i="11" s="1"/>
  <c r="E42" i="11"/>
  <c r="G42" i="11" s="1"/>
  <c r="H41" i="11"/>
  <c r="J41" i="11" s="1"/>
  <c r="E41" i="11"/>
  <c r="G41" i="11" s="1"/>
  <c r="H40" i="11"/>
  <c r="J40" i="11" s="1"/>
  <c r="E40" i="11"/>
  <c r="G40" i="11" s="1"/>
  <c r="H39" i="11"/>
  <c r="J39" i="11" s="1"/>
  <c r="E39" i="11"/>
  <c r="G39" i="11" s="1"/>
  <c r="H38" i="11"/>
  <c r="J38" i="11" s="1"/>
  <c r="E38" i="11"/>
  <c r="G38" i="11" s="1"/>
  <c r="H37" i="11"/>
  <c r="J37" i="11" s="1"/>
  <c r="E37" i="11"/>
  <c r="G37" i="11" s="1"/>
  <c r="H36" i="11"/>
  <c r="J36" i="11" s="1"/>
  <c r="E36" i="11"/>
  <c r="G36" i="11" s="1"/>
  <c r="H35" i="11"/>
  <c r="J35" i="11" s="1"/>
  <c r="E35" i="11"/>
  <c r="G35" i="11" s="1"/>
  <c r="H34" i="11"/>
  <c r="J34" i="11" s="1"/>
  <c r="E34" i="11"/>
  <c r="G34" i="11" s="1"/>
  <c r="H33" i="11"/>
  <c r="J33" i="11" s="1"/>
  <c r="E33" i="11"/>
  <c r="G33" i="11" s="1"/>
  <c r="H32" i="11"/>
  <c r="J32" i="11" s="1"/>
  <c r="E32" i="11"/>
  <c r="G32" i="11" s="1"/>
  <c r="H31" i="11"/>
  <c r="J31" i="11" s="1"/>
  <c r="E31" i="11"/>
  <c r="G31" i="11" s="1"/>
  <c r="H30" i="11"/>
  <c r="J30" i="11" s="1"/>
  <c r="E30" i="11"/>
  <c r="G30" i="11" s="1"/>
  <c r="H29" i="11"/>
  <c r="J29" i="11" s="1"/>
  <c r="E29" i="11"/>
  <c r="G29" i="11" s="1"/>
  <c r="H28" i="11"/>
  <c r="J28" i="11" s="1"/>
  <c r="E28" i="11"/>
  <c r="G28" i="11" s="1"/>
  <c r="H27" i="11"/>
  <c r="J27" i="11" s="1"/>
  <c r="E27" i="11"/>
  <c r="G27" i="11" s="1"/>
  <c r="H26" i="11"/>
  <c r="J26" i="11" s="1"/>
  <c r="E26" i="11"/>
  <c r="G26" i="11" s="1"/>
  <c r="H25" i="11"/>
  <c r="J25" i="11" s="1"/>
  <c r="E25" i="11"/>
  <c r="G25" i="11" s="1"/>
  <c r="H24" i="11"/>
  <c r="J24" i="11" s="1"/>
  <c r="E24" i="11"/>
  <c r="G24" i="11" s="1"/>
  <c r="H23" i="11"/>
  <c r="J23" i="11" s="1"/>
  <c r="E23" i="11"/>
  <c r="G23" i="11" s="1"/>
  <c r="H22" i="11"/>
  <c r="J22" i="11" s="1"/>
  <c r="E22" i="11"/>
  <c r="G22" i="11" s="1"/>
  <c r="H21" i="11"/>
  <c r="J21" i="11" s="1"/>
  <c r="E21" i="11"/>
  <c r="G21" i="11" s="1"/>
  <c r="H20" i="11"/>
  <c r="J20" i="11" s="1"/>
  <c r="E20" i="11"/>
  <c r="G20" i="11" s="1"/>
  <c r="H19" i="11"/>
  <c r="J19" i="11" s="1"/>
  <c r="E19" i="11"/>
  <c r="G19" i="11" s="1"/>
  <c r="H18" i="11"/>
  <c r="J18" i="11" s="1"/>
  <c r="E18" i="11"/>
  <c r="G18" i="11" s="1"/>
  <c r="H17" i="11"/>
  <c r="J17" i="11" s="1"/>
  <c r="E17" i="11"/>
  <c r="G17" i="11" s="1"/>
  <c r="H16" i="11"/>
  <c r="J16" i="11" s="1"/>
  <c r="E16" i="11"/>
  <c r="G16" i="11" s="1"/>
  <c r="H15" i="11"/>
  <c r="J15" i="11" s="1"/>
  <c r="E15" i="11"/>
  <c r="G15" i="11" s="1"/>
  <c r="H14" i="11"/>
  <c r="J14" i="11" s="1"/>
  <c r="E14" i="11"/>
  <c r="G14" i="11" s="1"/>
  <c r="H13" i="11"/>
  <c r="J13" i="11" s="1"/>
  <c r="E13" i="11"/>
  <c r="G13" i="11" s="1"/>
  <c r="H12" i="11"/>
  <c r="J12" i="11" s="1"/>
  <c r="E12" i="11"/>
  <c r="G12" i="11" s="1"/>
  <c r="H11" i="11"/>
  <c r="J11" i="11" s="1"/>
  <c r="E11" i="11"/>
  <c r="G11" i="11" s="1"/>
  <c r="H10" i="11"/>
  <c r="J10" i="11" s="1"/>
  <c r="E10" i="11"/>
  <c r="G10" i="11" s="1"/>
  <c r="H9" i="11"/>
  <c r="J9" i="11" s="1"/>
  <c r="E9" i="11"/>
  <c r="G9" i="11" s="1"/>
  <c r="H8" i="11"/>
  <c r="J8" i="11" s="1"/>
  <c r="E8" i="11"/>
  <c r="G8" i="11" s="1"/>
  <c r="H7" i="11"/>
  <c r="J7" i="11" s="1"/>
  <c r="E7" i="11"/>
  <c r="G7" i="11" s="1"/>
  <c r="H6" i="11"/>
  <c r="J6" i="11" s="1"/>
  <c r="E6" i="11"/>
  <c r="G6" i="11" s="1"/>
  <c r="H5" i="11"/>
  <c r="E5" i="11"/>
  <c r="E415" i="12"/>
  <c r="G415" i="12" s="1"/>
  <c r="E414" i="12"/>
  <c r="G414" i="12" s="1"/>
  <c r="I40" i="6"/>
  <c r="I82" i="6"/>
  <c r="K82" i="6"/>
  <c r="Q538" i="11" l="1"/>
  <c r="I415" i="12"/>
  <c r="I414" i="12"/>
  <c r="C23" i="14"/>
  <c r="D22" i="17" s="1"/>
  <c r="G49" i="14" l="1"/>
  <c r="G25" i="14"/>
  <c r="G288" i="1"/>
  <c r="D46" i="17" l="1"/>
  <c r="C46" i="17"/>
  <c r="D44" i="17"/>
  <c r="D42" i="17"/>
  <c r="C42" i="17"/>
  <c r="D39" i="17"/>
  <c r="C39" i="17"/>
  <c r="D38" i="17"/>
  <c r="C38" i="17"/>
  <c r="D37" i="17"/>
  <c r="C37" i="17"/>
  <c r="D36" i="17"/>
  <c r="C36" i="17"/>
  <c r="D35" i="17"/>
  <c r="D34" i="17"/>
  <c r="D31" i="17"/>
  <c r="G357" i="1"/>
  <c r="I484" i="1"/>
  <c r="G413" i="1"/>
  <c r="F357" i="1"/>
  <c r="F481" i="1"/>
  <c r="I499" i="1"/>
  <c r="F413" i="1"/>
  <c r="B27" i="14" l="1"/>
  <c r="F27" i="14"/>
  <c r="H27" i="14" s="1"/>
  <c r="C27" i="14" s="1"/>
  <c r="F24" i="14"/>
  <c r="H24" i="14" s="1"/>
  <c r="G358" i="1"/>
  <c r="F358" i="1"/>
  <c r="F35" i="1" s="1"/>
  <c r="C36" i="16" s="1"/>
  <c r="J43" i="15"/>
  <c r="I43" i="15"/>
  <c r="F43" i="15" s="1"/>
  <c r="J38" i="15"/>
  <c r="J37" i="15"/>
  <c r="J25" i="15"/>
  <c r="D50" i="17"/>
  <c r="H29" i="15"/>
  <c r="G29" i="15"/>
  <c r="H18" i="15"/>
  <c r="F492" i="1"/>
  <c r="H31" i="15" l="1"/>
  <c r="H34" i="15" s="1"/>
  <c r="H40" i="15" s="1"/>
  <c r="C24" i="14"/>
  <c r="D23" i="17" s="1"/>
  <c r="J24" i="14"/>
  <c r="J27" i="14"/>
  <c r="D26" i="17"/>
  <c r="G35" i="1"/>
  <c r="D36" i="16" s="1"/>
  <c r="B24" i="14"/>
  <c r="C23" i="17" s="1"/>
  <c r="D40" i="17"/>
  <c r="G31" i="15"/>
  <c r="G34" i="15" s="1"/>
  <c r="G37" i="15" s="1"/>
  <c r="H53" i="15" l="1"/>
  <c r="H54" i="15"/>
  <c r="H48" i="15"/>
  <c r="G40" i="15"/>
  <c r="G48" i="15" l="1"/>
  <c r="G54" i="15"/>
  <c r="G53" i="15"/>
  <c r="E69" i="3"/>
  <c r="E65" i="3"/>
  <c r="J84" i="3"/>
  <c r="F288" i="1"/>
  <c r="N19" i="11" l="1"/>
  <c r="P19" i="11" s="1"/>
  <c r="K19" i="11"/>
  <c r="M19" i="11" s="1"/>
  <c r="Q19" i="11" l="1"/>
  <c r="H542" i="11"/>
  <c r="H544" i="11" s="1"/>
  <c r="E542" i="11"/>
  <c r="E544" i="11" s="1"/>
  <c r="H94" i="3"/>
  <c r="N94" i="3" s="1"/>
  <c r="L91" i="3"/>
  <c r="L95" i="3" s="1"/>
  <c r="G91" i="3"/>
  <c r="G95" i="3" s="1"/>
  <c r="M90" i="3"/>
  <c r="H90" i="3"/>
  <c r="M89" i="3"/>
  <c r="H89" i="3"/>
  <c r="I88" i="3"/>
  <c r="H88" i="3"/>
  <c r="M87" i="3"/>
  <c r="H87" i="3"/>
  <c r="M86" i="3"/>
  <c r="H86" i="3"/>
  <c r="M85" i="3"/>
  <c r="H85" i="3"/>
  <c r="M83" i="3"/>
  <c r="N90" i="3" l="1"/>
  <c r="M84" i="3"/>
  <c r="N86" i="3"/>
  <c r="N89" i="3"/>
  <c r="F91" i="3"/>
  <c r="F95" i="3" s="1"/>
  <c r="H83" i="3"/>
  <c r="N83" i="3" s="1"/>
  <c r="J91" i="3"/>
  <c r="J95" i="3" s="1"/>
  <c r="N87" i="3"/>
  <c r="N85" i="3"/>
  <c r="H84" i="3"/>
  <c r="M88" i="3"/>
  <c r="N88" i="3" s="1"/>
  <c r="E91" i="3"/>
  <c r="E95" i="3" s="1"/>
  <c r="I91" i="3"/>
  <c r="I95" i="3" s="1"/>
  <c r="K91" i="3"/>
  <c r="K95" i="3" s="1"/>
  <c r="N84" i="3" l="1"/>
  <c r="N91" i="3" s="1"/>
  <c r="N95" i="3" s="1"/>
  <c r="H91" i="3"/>
  <c r="H95" i="3" s="1"/>
  <c r="M91" i="3"/>
  <c r="M95" i="3" s="1"/>
  <c r="B10" i="14" l="1"/>
  <c r="C11" i="17" s="1"/>
  <c r="I70" i="3"/>
  <c r="N75" i="3"/>
  <c r="M75" i="3"/>
  <c r="L75" i="3"/>
  <c r="K75" i="3"/>
  <c r="J75" i="3"/>
  <c r="I75" i="3"/>
  <c r="H75" i="3"/>
  <c r="G75" i="3"/>
  <c r="F75" i="3"/>
  <c r="E75" i="3"/>
  <c r="B13" i="14"/>
  <c r="I77" i="3" l="1"/>
  <c r="C14" i="17"/>
  <c r="C11" i="14"/>
  <c r="D12" i="17" s="1"/>
  <c r="C10" i="14"/>
  <c r="D11" i="17" s="1"/>
  <c r="C44" i="14"/>
  <c r="C13" i="14"/>
  <c r="D14" i="17" l="1"/>
  <c r="F256" i="1"/>
  <c r="F486" i="1"/>
  <c r="F384" i="1"/>
  <c r="F487" i="1"/>
  <c r="F283" i="1"/>
  <c r="G283" i="1"/>
  <c r="F257" i="1"/>
  <c r="G486" i="1"/>
  <c r="G188" i="1" l="1"/>
  <c r="G526" i="1"/>
  <c r="F526" i="1"/>
  <c r="Q30" i="6"/>
  <c r="G282" i="1"/>
  <c r="G287" i="1"/>
  <c r="G488" i="1"/>
  <c r="F488" i="1"/>
  <c r="F287" i="1"/>
  <c r="G280" i="1" l="1"/>
  <c r="R32" i="6"/>
  <c r="Q32" i="6"/>
  <c r="I31" i="6" s="1"/>
  <c r="G243" i="1"/>
  <c r="N541" i="11" l="1"/>
  <c r="N540" i="11"/>
  <c r="N539" i="11"/>
  <c r="N537" i="11"/>
  <c r="N536" i="11"/>
  <c r="N535" i="11"/>
  <c r="N534" i="11"/>
  <c r="N533" i="11"/>
  <c r="N532" i="11"/>
  <c r="N531" i="11"/>
  <c r="N530" i="11"/>
  <c r="N529" i="11"/>
  <c r="N528" i="11"/>
  <c r="N527" i="11"/>
  <c r="N526" i="11"/>
  <c r="N525" i="11"/>
  <c r="N524" i="11"/>
  <c r="N523" i="11"/>
  <c r="N522" i="11"/>
  <c r="N521" i="11"/>
  <c r="N520" i="11"/>
  <c r="N519" i="11"/>
  <c r="N518" i="11"/>
  <c r="N517" i="11"/>
  <c r="N516" i="11"/>
  <c r="N515" i="11"/>
  <c r="N514" i="11"/>
  <c r="N513" i="11"/>
  <c r="N512" i="11"/>
  <c r="N511" i="11"/>
  <c r="N510" i="11"/>
  <c r="N508" i="11"/>
  <c r="N507" i="11"/>
  <c r="N506" i="11"/>
  <c r="N505" i="11"/>
  <c r="N504" i="11"/>
  <c r="N503" i="11"/>
  <c r="N502" i="11"/>
  <c r="N501" i="11"/>
  <c r="N500" i="11"/>
  <c r="N499" i="11"/>
  <c r="N498" i="11"/>
  <c r="N497" i="11"/>
  <c r="N496" i="11"/>
  <c r="N495" i="11"/>
  <c r="N494" i="11"/>
  <c r="N493" i="11"/>
  <c r="N492" i="11"/>
  <c r="N491" i="11"/>
  <c r="N490" i="11"/>
  <c r="N489" i="11"/>
  <c r="N488" i="11"/>
  <c r="N487" i="11"/>
  <c r="N486" i="11"/>
  <c r="N485" i="11"/>
  <c r="N484" i="11"/>
  <c r="N483" i="11"/>
  <c r="N482" i="11"/>
  <c r="N481" i="11"/>
  <c r="N480" i="11"/>
  <c r="N479" i="11"/>
  <c r="N478" i="11"/>
  <c r="N477" i="11"/>
  <c r="N476" i="11"/>
  <c r="N475" i="11"/>
  <c r="N474" i="11"/>
  <c r="N473" i="11"/>
  <c r="N472" i="11"/>
  <c r="N471" i="11"/>
  <c r="N470" i="11"/>
  <c r="N469" i="11"/>
  <c r="N468" i="11"/>
  <c r="N467" i="11"/>
  <c r="N466" i="11"/>
  <c r="N465" i="11"/>
  <c r="N464" i="11"/>
  <c r="N463" i="11"/>
  <c r="N462" i="11"/>
  <c r="N461" i="11"/>
  <c r="N460" i="11"/>
  <c r="N459" i="11"/>
  <c r="N458" i="11"/>
  <c r="N457" i="11"/>
  <c r="N456" i="11"/>
  <c r="N455" i="11"/>
  <c r="N454" i="11"/>
  <c r="N453" i="11"/>
  <c r="N452" i="11"/>
  <c r="N451" i="11"/>
  <c r="N450" i="11"/>
  <c r="N449" i="11"/>
  <c r="N448" i="11"/>
  <c r="N447" i="11"/>
  <c r="N446" i="11"/>
  <c r="N445" i="11"/>
  <c r="N444" i="11"/>
  <c r="N443" i="11"/>
  <c r="N442" i="11"/>
  <c r="N441" i="11"/>
  <c r="N440" i="11"/>
  <c r="N439" i="11"/>
  <c r="N438" i="11"/>
  <c r="N437" i="11"/>
  <c r="N436" i="11"/>
  <c r="N435" i="11"/>
  <c r="N434" i="11"/>
  <c r="N433" i="11"/>
  <c r="N432" i="11"/>
  <c r="N431" i="11"/>
  <c r="N430" i="11"/>
  <c r="N429" i="11"/>
  <c r="N428" i="11"/>
  <c r="N427" i="11"/>
  <c r="N426" i="11"/>
  <c r="N425" i="11"/>
  <c r="N424" i="11"/>
  <c r="N423" i="11"/>
  <c r="N422" i="11"/>
  <c r="N421" i="11"/>
  <c r="N420" i="11"/>
  <c r="N419" i="11"/>
  <c r="N418" i="11"/>
  <c r="N417" i="11"/>
  <c r="N416" i="11"/>
  <c r="N415" i="11"/>
  <c r="N414" i="11"/>
  <c r="N413" i="11"/>
  <c r="N412" i="11"/>
  <c r="N411" i="11"/>
  <c r="N410" i="11"/>
  <c r="N409" i="11"/>
  <c r="N408" i="11"/>
  <c r="N407" i="11"/>
  <c r="N406" i="11"/>
  <c r="N405" i="11"/>
  <c r="N404" i="11"/>
  <c r="N403" i="11"/>
  <c r="N402" i="11"/>
  <c r="N401" i="11"/>
  <c r="N400" i="11"/>
  <c r="N399" i="11"/>
  <c r="N398" i="11"/>
  <c r="N397" i="11"/>
  <c r="N396" i="11"/>
  <c r="N395" i="11"/>
  <c r="N394" i="11"/>
  <c r="N393" i="11"/>
  <c r="N392" i="11"/>
  <c r="N391" i="11"/>
  <c r="N390" i="11"/>
  <c r="N389" i="11"/>
  <c r="N388" i="11"/>
  <c r="N387" i="11"/>
  <c r="N386" i="11"/>
  <c r="N385" i="11"/>
  <c r="N384" i="11"/>
  <c r="N383" i="11"/>
  <c r="N382" i="11"/>
  <c r="N381" i="11"/>
  <c r="N380" i="11"/>
  <c r="N379" i="11"/>
  <c r="N378" i="11"/>
  <c r="N377" i="11"/>
  <c r="N376" i="11"/>
  <c r="N375" i="11"/>
  <c r="N374" i="11"/>
  <c r="N373" i="11"/>
  <c r="N372" i="11"/>
  <c r="N371" i="11"/>
  <c r="N370" i="11"/>
  <c r="N369" i="11"/>
  <c r="N368" i="11"/>
  <c r="N367" i="11"/>
  <c r="N366" i="11"/>
  <c r="N365" i="11"/>
  <c r="N364" i="11"/>
  <c r="N363" i="11"/>
  <c r="N362" i="11"/>
  <c r="N361" i="11"/>
  <c r="N360" i="11"/>
  <c r="N359" i="11"/>
  <c r="N358" i="11"/>
  <c r="N357" i="11"/>
  <c r="N356" i="11"/>
  <c r="N355" i="11"/>
  <c r="N354" i="11"/>
  <c r="N353" i="11"/>
  <c r="N352" i="11"/>
  <c r="N351" i="11"/>
  <c r="N350" i="11"/>
  <c r="N349" i="11"/>
  <c r="N348" i="11"/>
  <c r="N347" i="11"/>
  <c r="N346" i="11"/>
  <c r="N345" i="11"/>
  <c r="N344" i="11"/>
  <c r="N343" i="11"/>
  <c r="N342" i="11"/>
  <c r="N341" i="11"/>
  <c r="N340" i="11"/>
  <c r="N339" i="11"/>
  <c r="N338" i="11"/>
  <c r="N337" i="11"/>
  <c r="N336" i="11"/>
  <c r="N335" i="11"/>
  <c r="N334" i="11"/>
  <c r="N333" i="11"/>
  <c r="N332" i="11"/>
  <c r="N331" i="11"/>
  <c r="N330" i="11"/>
  <c r="N329" i="11"/>
  <c r="N328" i="11"/>
  <c r="N327" i="11"/>
  <c r="N326" i="11"/>
  <c r="N325" i="11"/>
  <c r="N324" i="11"/>
  <c r="N323" i="11"/>
  <c r="N322" i="11"/>
  <c r="N321" i="11"/>
  <c r="N320" i="11"/>
  <c r="N319" i="11"/>
  <c r="N318" i="11"/>
  <c r="N317" i="11"/>
  <c r="N316" i="11"/>
  <c r="N315" i="11"/>
  <c r="N314" i="11"/>
  <c r="N313" i="11"/>
  <c r="N312" i="11"/>
  <c r="N311" i="11"/>
  <c r="N310" i="11"/>
  <c r="N309" i="11"/>
  <c r="N308" i="11"/>
  <c r="N307" i="11"/>
  <c r="N306" i="11"/>
  <c r="N305" i="11"/>
  <c r="N304" i="11"/>
  <c r="N303" i="11"/>
  <c r="N302" i="11"/>
  <c r="N301" i="11"/>
  <c r="N300" i="11"/>
  <c r="N299" i="11"/>
  <c r="N298" i="11"/>
  <c r="N297" i="11"/>
  <c r="N296" i="11"/>
  <c r="N295" i="11"/>
  <c r="N294" i="11"/>
  <c r="N293" i="11"/>
  <c r="N292" i="11"/>
  <c r="N291" i="11"/>
  <c r="N290" i="11"/>
  <c r="N289" i="11"/>
  <c r="N288" i="11"/>
  <c r="N287" i="11"/>
  <c r="N286" i="11"/>
  <c r="N285" i="11"/>
  <c r="N284" i="11"/>
  <c r="N283" i="11"/>
  <c r="N282" i="11"/>
  <c r="N281" i="11"/>
  <c r="N280" i="11"/>
  <c r="N279" i="11"/>
  <c r="N278" i="11"/>
  <c r="N277" i="11"/>
  <c r="N276" i="11"/>
  <c r="N275" i="11"/>
  <c r="N274" i="11"/>
  <c r="N273" i="11"/>
  <c r="N272" i="11"/>
  <c r="N271" i="11"/>
  <c r="N270" i="11"/>
  <c r="N269" i="11"/>
  <c r="N268" i="11"/>
  <c r="N267" i="11"/>
  <c r="N266" i="11"/>
  <c r="N265" i="11"/>
  <c r="N264" i="11"/>
  <c r="N263" i="11"/>
  <c r="N262" i="11"/>
  <c r="N261" i="11"/>
  <c r="N260" i="11"/>
  <c r="N259" i="11"/>
  <c r="N258" i="11"/>
  <c r="N257" i="11"/>
  <c r="N256" i="11"/>
  <c r="N255" i="11"/>
  <c r="N254" i="11"/>
  <c r="N253" i="11"/>
  <c r="N252" i="11"/>
  <c r="N251" i="11"/>
  <c r="N250" i="11"/>
  <c r="N249" i="11"/>
  <c r="N248" i="11"/>
  <c r="N247" i="11"/>
  <c r="N246" i="11"/>
  <c r="N245" i="11"/>
  <c r="N244" i="11"/>
  <c r="N243" i="11"/>
  <c r="N242" i="11"/>
  <c r="N241" i="11"/>
  <c r="N240" i="11"/>
  <c r="N239" i="11"/>
  <c r="N238" i="11"/>
  <c r="N237" i="11"/>
  <c r="N236" i="11"/>
  <c r="N235" i="11"/>
  <c r="N234" i="11"/>
  <c r="N233" i="11"/>
  <c r="N232" i="11"/>
  <c r="N231" i="11"/>
  <c r="N230" i="11"/>
  <c r="N229" i="11"/>
  <c r="N228" i="11"/>
  <c r="N227" i="11"/>
  <c r="N226" i="11"/>
  <c r="N225" i="11"/>
  <c r="N224" i="11"/>
  <c r="N223" i="11"/>
  <c r="N222" i="11"/>
  <c r="N221" i="11"/>
  <c r="N220" i="11"/>
  <c r="N219" i="11"/>
  <c r="N218" i="11"/>
  <c r="N217" i="11"/>
  <c r="N216" i="11"/>
  <c r="N215" i="11"/>
  <c r="N214" i="11"/>
  <c r="N213" i="11"/>
  <c r="N212" i="11"/>
  <c r="N211" i="11"/>
  <c r="N210" i="11"/>
  <c r="N209" i="11"/>
  <c r="N208" i="11"/>
  <c r="N207" i="11"/>
  <c r="N206" i="11"/>
  <c r="N205" i="11"/>
  <c r="N204" i="11"/>
  <c r="N203" i="11"/>
  <c r="N202" i="11"/>
  <c r="N201" i="11"/>
  <c r="N200" i="11"/>
  <c r="N199" i="11"/>
  <c r="N198" i="11"/>
  <c r="N197" i="11"/>
  <c r="N196" i="11"/>
  <c r="N195" i="11"/>
  <c r="N194" i="11"/>
  <c r="N193" i="11"/>
  <c r="N192" i="11"/>
  <c r="N191" i="11"/>
  <c r="N190" i="11"/>
  <c r="N189" i="11"/>
  <c r="N188" i="11"/>
  <c r="N187" i="11"/>
  <c r="N186" i="11"/>
  <c r="N185" i="11"/>
  <c r="N184" i="11"/>
  <c r="N183" i="11"/>
  <c r="N182" i="11"/>
  <c r="N181" i="11"/>
  <c r="N180" i="11"/>
  <c r="N179" i="11"/>
  <c r="N178" i="11"/>
  <c r="N177" i="11"/>
  <c r="N176" i="11"/>
  <c r="N175" i="11"/>
  <c r="N174" i="11"/>
  <c r="N173" i="11"/>
  <c r="N172" i="11"/>
  <c r="N171" i="11"/>
  <c r="N170" i="11"/>
  <c r="N169" i="11"/>
  <c r="N168" i="11"/>
  <c r="N167" i="11"/>
  <c r="N166" i="11"/>
  <c r="N165" i="11"/>
  <c r="N164" i="11"/>
  <c r="N163" i="11"/>
  <c r="N162" i="11"/>
  <c r="N161" i="11"/>
  <c r="N160" i="11"/>
  <c r="N159" i="11"/>
  <c r="N158" i="11"/>
  <c r="N157" i="11"/>
  <c r="N156" i="11"/>
  <c r="N155" i="11"/>
  <c r="N154" i="11"/>
  <c r="N153" i="11"/>
  <c r="N152" i="11"/>
  <c r="N151" i="11"/>
  <c r="N150" i="11"/>
  <c r="N149" i="11"/>
  <c r="N148" i="11"/>
  <c r="N147" i="11"/>
  <c r="N146" i="11"/>
  <c r="N145" i="11"/>
  <c r="N144" i="11"/>
  <c r="N143" i="11"/>
  <c r="N142" i="11"/>
  <c r="N141" i="11"/>
  <c r="N140" i="11"/>
  <c r="N139" i="11"/>
  <c r="N138" i="11"/>
  <c r="N137" i="11"/>
  <c r="N136" i="11"/>
  <c r="N135" i="11"/>
  <c r="N134" i="11"/>
  <c r="N133" i="11"/>
  <c r="N132" i="11"/>
  <c r="N131" i="11"/>
  <c r="N130" i="11"/>
  <c r="N129" i="11"/>
  <c r="N128" i="11"/>
  <c r="N127" i="11"/>
  <c r="N126" i="11"/>
  <c r="N125" i="11"/>
  <c r="N124" i="11"/>
  <c r="N122" i="11"/>
  <c r="N121" i="11"/>
  <c r="N120" i="11"/>
  <c r="N119" i="11"/>
  <c r="N118" i="11"/>
  <c r="N117" i="11"/>
  <c r="N116" i="11"/>
  <c r="N115" i="11"/>
  <c r="N114" i="11"/>
  <c r="N113" i="11"/>
  <c r="N112" i="11"/>
  <c r="N111" i="11"/>
  <c r="N110" i="11"/>
  <c r="N109" i="11"/>
  <c r="N108" i="11"/>
  <c r="N107" i="11"/>
  <c r="N106" i="11"/>
  <c r="N105" i="11"/>
  <c r="N104" i="11"/>
  <c r="N103" i="11"/>
  <c r="N102" i="11"/>
  <c r="N101" i="11"/>
  <c r="N100" i="11"/>
  <c r="N99" i="11"/>
  <c r="N98" i="11"/>
  <c r="N97" i="11"/>
  <c r="N96" i="11"/>
  <c r="N95" i="11"/>
  <c r="N94" i="11"/>
  <c r="N93" i="11"/>
  <c r="N92" i="11"/>
  <c r="N91" i="11"/>
  <c r="N90" i="11"/>
  <c r="N89" i="11"/>
  <c r="N88" i="11"/>
  <c r="N87" i="11"/>
  <c r="N86" i="11"/>
  <c r="N85" i="11"/>
  <c r="N84" i="11"/>
  <c r="N83" i="11"/>
  <c r="N82" i="11"/>
  <c r="N81" i="11"/>
  <c r="N80" i="11"/>
  <c r="N79" i="11"/>
  <c r="N78" i="11"/>
  <c r="N77" i="11"/>
  <c r="N76" i="11"/>
  <c r="N75" i="11"/>
  <c r="N74" i="11"/>
  <c r="N73" i="11"/>
  <c r="N72" i="11"/>
  <c r="N71" i="11"/>
  <c r="N70" i="11"/>
  <c r="N69" i="11"/>
  <c r="N68" i="11"/>
  <c r="N67" i="11"/>
  <c r="N66" i="11"/>
  <c r="N65" i="11"/>
  <c r="N64" i="11"/>
  <c r="N63" i="11"/>
  <c r="N62" i="11"/>
  <c r="N61" i="11"/>
  <c r="N60" i="11"/>
  <c r="N59" i="11"/>
  <c r="N58" i="11"/>
  <c r="N57" i="11"/>
  <c r="N56" i="11"/>
  <c r="N55" i="11"/>
  <c r="N54" i="11"/>
  <c r="N53" i="11"/>
  <c r="N52" i="11"/>
  <c r="N51" i="11"/>
  <c r="N50" i="11"/>
  <c r="N49" i="11"/>
  <c r="N48" i="11"/>
  <c r="N47" i="11"/>
  <c r="N46" i="11"/>
  <c r="N45" i="11"/>
  <c r="N44" i="11"/>
  <c r="N43" i="11"/>
  <c r="N42" i="11"/>
  <c r="N41" i="11"/>
  <c r="N40" i="11"/>
  <c r="N39" i="11"/>
  <c r="N38" i="11"/>
  <c r="N37" i="11"/>
  <c r="N36" i="11"/>
  <c r="N35" i="11"/>
  <c r="N34" i="11"/>
  <c r="N33" i="11"/>
  <c r="N32" i="11"/>
  <c r="N31" i="11"/>
  <c r="N30" i="11"/>
  <c r="N29" i="11"/>
  <c r="N28" i="11"/>
  <c r="N27" i="11"/>
  <c r="N26" i="11"/>
  <c r="N25" i="11"/>
  <c r="N24" i="11"/>
  <c r="N23" i="11"/>
  <c r="N22" i="11"/>
  <c r="N21" i="11"/>
  <c r="N20" i="11"/>
  <c r="N18" i="11"/>
  <c r="N17" i="11"/>
  <c r="N16" i="11"/>
  <c r="N15" i="11"/>
  <c r="N14" i="11"/>
  <c r="N13" i="11"/>
  <c r="N12" i="11"/>
  <c r="N11" i="11"/>
  <c r="N10" i="11"/>
  <c r="N9" i="11"/>
  <c r="N8" i="11"/>
  <c r="N7" i="11"/>
  <c r="N6" i="11"/>
  <c r="K541" i="11"/>
  <c r="K540" i="11"/>
  <c r="K539" i="11"/>
  <c r="K537" i="11"/>
  <c r="K536" i="11"/>
  <c r="K535" i="11"/>
  <c r="K534" i="11"/>
  <c r="K533" i="11"/>
  <c r="K532" i="11"/>
  <c r="K531" i="11"/>
  <c r="K530" i="11"/>
  <c r="K529" i="11"/>
  <c r="K528" i="11"/>
  <c r="K527" i="11"/>
  <c r="K526" i="11"/>
  <c r="K525" i="11"/>
  <c r="K524" i="11"/>
  <c r="K523" i="11"/>
  <c r="K522" i="11"/>
  <c r="K521" i="11"/>
  <c r="K520" i="11"/>
  <c r="K519" i="11"/>
  <c r="K518" i="11"/>
  <c r="K517" i="11"/>
  <c r="K516" i="11"/>
  <c r="K515" i="11"/>
  <c r="K514" i="11"/>
  <c r="K513" i="11"/>
  <c r="K512" i="11"/>
  <c r="K511" i="11"/>
  <c r="K510" i="11"/>
  <c r="K508" i="11"/>
  <c r="K507" i="11"/>
  <c r="K506" i="11"/>
  <c r="K505" i="11"/>
  <c r="K504" i="11"/>
  <c r="K503" i="11"/>
  <c r="K502" i="11"/>
  <c r="K501" i="11"/>
  <c r="K500" i="11"/>
  <c r="K499" i="11"/>
  <c r="K498" i="11"/>
  <c r="K497" i="11"/>
  <c r="K496" i="11"/>
  <c r="K495" i="11"/>
  <c r="K494" i="11"/>
  <c r="K493" i="11"/>
  <c r="K492" i="11"/>
  <c r="K491" i="11"/>
  <c r="K490" i="11"/>
  <c r="K489" i="11"/>
  <c r="K488" i="11"/>
  <c r="K487" i="11"/>
  <c r="K486" i="11"/>
  <c r="K485" i="11"/>
  <c r="K484" i="11"/>
  <c r="K483" i="11"/>
  <c r="K482" i="11"/>
  <c r="K481" i="11"/>
  <c r="K480" i="11"/>
  <c r="K479" i="11"/>
  <c r="K478" i="11"/>
  <c r="K477" i="11"/>
  <c r="K476" i="11"/>
  <c r="K475" i="11"/>
  <c r="K474" i="11"/>
  <c r="K473" i="11"/>
  <c r="K472" i="11"/>
  <c r="K471" i="11"/>
  <c r="K470" i="11"/>
  <c r="K469" i="11"/>
  <c r="K468" i="11"/>
  <c r="K467" i="11"/>
  <c r="K466" i="11"/>
  <c r="K465" i="11"/>
  <c r="K464" i="11"/>
  <c r="K463" i="11"/>
  <c r="K462" i="11"/>
  <c r="K461" i="11"/>
  <c r="K460" i="11"/>
  <c r="K459" i="11"/>
  <c r="K458" i="11"/>
  <c r="K457" i="11"/>
  <c r="K456" i="11"/>
  <c r="K455" i="11"/>
  <c r="K454" i="11"/>
  <c r="K453" i="11"/>
  <c r="K452" i="11"/>
  <c r="K451" i="11"/>
  <c r="K450" i="11"/>
  <c r="K449" i="11"/>
  <c r="K448" i="11"/>
  <c r="K447" i="11"/>
  <c r="K446" i="11"/>
  <c r="K445" i="11"/>
  <c r="K444" i="11"/>
  <c r="K443" i="11"/>
  <c r="K442" i="11"/>
  <c r="K441" i="11"/>
  <c r="K440" i="11"/>
  <c r="K439" i="11"/>
  <c r="K438" i="11"/>
  <c r="K437" i="11"/>
  <c r="K436" i="11"/>
  <c r="K435" i="11"/>
  <c r="K434" i="11"/>
  <c r="K433" i="11"/>
  <c r="K432" i="11"/>
  <c r="K431" i="11"/>
  <c r="K430" i="11"/>
  <c r="K429" i="11"/>
  <c r="K428" i="11"/>
  <c r="K427" i="11"/>
  <c r="K426" i="11"/>
  <c r="K425" i="11"/>
  <c r="K424" i="11"/>
  <c r="K423" i="11"/>
  <c r="K422" i="11"/>
  <c r="K421" i="11"/>
  <c r="K420" i="11"/>
  <c r="K419" i="11"/>
  <c r="K418" i="11"/>
  <c r="K417" i="11"/>
  <c r="K416" i="11"/>
  <c r="K415" i="11"/>
  <c r="K414" i="11"/>
  <c r="K413" i="11"/>
  <c r="K412" i="11"/>
  <c r="K411" i="11"/>
  <c r="K410" i="11"/>
  <c r="K409" i="11"/>
  <c r="K408" i="11"/>
  <c r="K407" i="11"/>
  <c r="K406" i="11"/>
  <c r="K405" i="11"/>
  <c r="K404" i="11"/>
  <c r="K403" i="11"/>
  <c r="K402" i="11"/>
  <c r="K401" i="11"/>
  <c r="K400" i="11"/>
  <c r="K399" i="11"/>
  <c r="K398" i="11"/>
  <c r="K397" i="11"/>
  <c r="K396" i="11"/>
  <c r="K395" i="11"/>
  <c r="K394" i="11"/>
  <c r="K393" i="11"/>
  <c r="K392" i="11"/>
  <c r="K391" i="11"/>
  <c r="K390" i="11"/>
  <c r="K389" i="11"/>
  <c r="K388" i="11"/>
  <c r="K387" i="11"/>
  <c r="K386" i="11"/>
  <c r="K385" i="11"/>
  <c r="K384" i="11"/>
  <c r="K383" i="11"/>
  <c r="K382" i="11"/>
  <c r="K381" i="11"/>
  <c r="K380" i="11"/>
  <c r="K379" i="11"/>
  <c r="K378" i="11"/>
  <c r="K377" i="11"/>
  <c r="K376" i="11"/>
  <c r="K375" i="11"/>
  <c r="K374" i="11"/>
  <c r="K373" i="11"/>
  <c r="K372" i="11"/>
  <c r="K371" i="11"/>
  <c r="K370" i="11"/>
  <c r="K369" i="11"/>
  <c r="K368" i="11"/>
  <c r="K367" i="11"/>
  <c r="K366" i="11"/>
  <c r="K365" i="11"/>
  <c r="K364" i="11"/>
  <c r="K363" i="11"/>
  <c r="K362" i="11"/>
  <c r="K361" i="11"/>
  <c r="K360" i="11"/>
  <c r="K359" i="11"/>
  <c r="K358" i="11"/>
  <c r="K357" i="11"/>
  <c r="K356" i="11"/>
  <c r="K355" i="11"/>
  <c r="K354" i="11"/>
  <c r="K353" i="11"/>
  <c r="K352" i="11"/>
  <c r="K351" i="11"/>
  <c r="K350" i="11"/>
  <c r="K349" i="11"/>
  <c r="K348" i="11"/>
  <c r="K347" i="11"/>
  <c r="K346" i="11"/>
  <c r="K345" i="11"/>
  <c r="K344" i="11"/>
  <c r="K343" i="11"/>
  <c r="K342" i="11"/>
  <c r="K341" i="11"/>
  <c r="K340" i="11"/>
  <c r="K339" i="11"/>
  <c r="K338" i="11"/>
  <c r="K337" i="11"/>
  <c r="K336" i="11"/>
  <c r="K335" i="11"/>
  <c r="K334" i="11"/>
  <c r="K333" i="11"/>
  <c r="K332" i="11"/>
  <c r="K331" i="11"/>
  <c r="K330" i="11"/>
  <c r="K329" i="11"/>
  <c r="K328" i="11"/>
  <c r="K327" i="11"/>
  <c r="K326" i="11"/>
  <c r="K325" i="11"/>
  <c r="K324" i="11"/>
  <c r="K323" i="11"/>
  <c r="K322" i="11"/>
  <c r="K321" i="11"/>
  <c r="K320" i="11"/>
  <c r="K319" i="11"/>
  <c r="K318" i="11"/>
  <c r="K317" i="11"/>
  <c r="K316" i="11"/>
  <c r="K315" i="11"/>
  <c r="K314" i="11"/>
  <c r="K313" i="11"/>
  <c r="K312" i="11"/>
  <c r="K311" i="11"/>
  <c r="K310" i="11"/>
  <c r="K309" i="11"/>
  <c r="K308" i="11"/>
  <c r="K307" i="11"/>
  <c r="K306" i="11"/>
  <c r="K305" i="11"/>
  <c r="K304" i="11"/>
  <c r="K303" i="11"/>
  <c r="K302" i="11"/>
  <c r="K301" i="11"/>
  <c r="K300" i="11"/>
  <c r="K299" i="11"/>
  <c r="K298" i="11"/>
  <c r="K297" i="11"/>
  <c r="K296" i="11"/>
  <c r="K295" i="11"/>
  <c r="K294" i="11"/>
  <c r="K293" i="11"/>
  <c r="K292" i="11"/>
  <c r="K291" i="11"/>
  <c r="K290" i="11"/>
  <c r="K289" i="11"/>
  <c r="K288" i="11"/>
  <c r="K287" i="11"/>
  <c r="K286" i="11"/>
  <c r="K285" i="11"/>
  <c r="K284" i="11"/>
  <c r="K283" i="11"/>
  <c r="K282" i="11"/>
  <c r="K281" i="11"/>
  <c r="K280" i="11"/>
  <c r="K279" i="11"/>
  <c r="K278" i="11"/>
  <c r="K277" i="11"/>
  <c r="K276" i="11"/>
  <c r="K275" i="11"/>
  <c r="K274" i="11"/>
  <c r="K273" i="11"/>
  <c r="K272" i="11"/>
  <c r="K271" i="11"/>
  <c r="K270" i="11"/>
  <c r="K269" i="11"/>
  <c r="K268" i="11"/>
  <c r="K267" i="11"/>
  <c r="K266" i="11"/>
  <c r="K265" i="11"/>
  <c r="K264" i="11"/>
  <c r="K263" i="11"/>
  <c r="K262" i="11"/>
  <c r="K261" i="11"/>
  <c r="K260" i="11"/>
  <c r="K259" i="11"/>
  <c r="K258" i="11"/>
  <c r="K257" i="11"/>
  <c r="K256" i="11"/>
  <c r="K255" i="11"/>
  <c r="K254" i="11"/>
  <c r="K253" i="11"/>
  <c r="K252" i="11"/>
  <c r="K251" i="11"/>
  <c r="K250" i="11"/>
  <c r="K249" i="11"/>
  <c r="K248" i="11"/>
  <c r="K247" i="11"/>
  <c r="K246" i="11"/>
  <c r="K245" i="11"/>
  <c r="K244" i="11"/>
  <c r="K243" i="11"/>
  <c r="K242" i="11"/>
  <c r="K241" i="11"/>
  <c r="K240" i="11"/>
  <c r="K239" i="11"/>
  <c r="K238" i="11"/>
  <c r="K237" i="11"/>
  <c r="K236" i="11"/>
  <c r="K235" i="11"/>
  <c r="K234" i="11"/>
  <c r="K233" i="11"/>
  <c r="K232" i="11"/>
  <c r="K231" i="11"/>
  <c r="K230" i="11"/>
  <c r="K229" i="11"/>
  <c r="K228" i="11"/>
  <c r="K227" i="11"/>
  <c r="K226" i="11"/>
  <c r="K225" i="11"/>
  <c r="K224" i="11"/>
  <c r="K223" i="11"/>
  <c r="K222" i="11"/>
  <c r="K221" i="11"/>
  <c r="K220" i="11"/>
  <c r="K219" i="11"/>
  <c r="K218" i="11"/>
  <c r="K217" i="11"/>
  <c r="K216" i="11"/>
  <c r="K215" i="11"/>
  <c r="K214" i="11"/>
  <c r="K213" i="11"/>
  <c r="K212" i="11"/>
  <c r="K211" i="11"/>
  <c r="K210" i="11"/>
  <c r="K209" i="11"/>
  <c r="K208" i="11"/>
  <c r="K207" i="11"/>
  <c r="K206" i="11"/>
  <c r="K205" i="11"/>
  <c r="K204" i="11"/>
  <c r="K203" i="11"/>
  <c r="K202" i="11"/>
  <c r="K201" i="11"/>
  <c r="K200" i="11"/>
  <c r="K199" i="11"/>
  <c r="K198" i="11"/>
  <c r="K197" i="11"/>
  <c r="K196" i="11"/>
  <c r="K195" i="11"/>
  <c r="K194" i="11"/>
  <c r="K193" i="11"/>
  <c r="K192" i="11"/>
  <c r="K191" i="11"/>
  <c r="K190" i="11"/>
  <c r="K189" i="11"/>
  <c r="K188" i="11"/>
  <c r="K187" i="11"/>
  <c r="K186" i="11"/>
  <c r="K185" i="11"/>
  <c r="K184" i="11"/>
  <c r="K183" i="11"/>
  <c r="K182" i="11"/>
  <c r="K181" i="11"/>
  <c r="K180" i="11"/>
  <c r="K179" i="11"/>
  <c r="K178" i="11"/>
  <c r="K177" i="11"/>
  <c r="K176" i="11"/>
  <c r="K175" i="11"/>
  <c r="K174" i="11"/>
  <c r="K173" i="11"/>
  <c r="K172" i="11"/>
  <c r="K171" i="11"/>
  <c r="K170" i="11"/>
  <c r="K169" i="11"/>
  <c r="K168" i="11"/>
  <c r="K167" i="11"/>
  <c r="K166" i="11"/>
  <c r="K165" i="11"/>
  <c r="K164" i="11"/>
  <c r="K163" i="11"/>
  <c r="K162" i="11"/>
  <c r="K161" i="11"/>
  <c r="K160" i="11"/>
  <c r="K159" i="11"/>
  <c r="K158" i="11"/>
  <c r="K157" i="11"/>
  <c r="K156" i="11"/>
  <c r="K155" i="11"/>
  <c r="K154" i="11"/>
  <c r="K153" i="11"/>
  <c r="K152" i="11"/>
  <c r="K151" i="11"/>
  <c r="K150" i="11"/>
  <c r="K149" i="11"/>
  <c r="K148" i="11"/>
  <c r="K147" i="11"/>
  <c r="K146" i="11"/>
  <c r="K145" i="11"/>
  <c r="K144" i="11"/>
  <c r="K143" i="11"/>
  <c r="K142" i="11"/>
  <c r="K141" i="11"/>
  <c r="K140" i="11"/>
  <c r="K139" i="11"/>
  <c r="K138" i="11"/>
  <c r="K137" i="11"/>
  <c r="K136" i="11"/>
  <c r="K135" i="11"/>
  <c r="K134" i="11"/>
  <c r="K133" i="11"/>
  <c r="K132" i="11"/>
  <c r="K131" i="11"/>
  <c r="K130" i="11"/>
  <c r="K129" i="11"/>
  <c r="K128" i="11"/>
  <c r="K127" i="11"/>
  <c r="K126" i="11"/>
  <c r="K125" i="11"/>
  <c r="K124" i="11"/>
  <c r="K122" i="11"/>
  <c r="K121" i="11"/>
  <c r="K120" i="11"/>
  <c r="K119" i="11"/>
  <c r="K118" i="11"/>
  <c r="K117" i="11"/>
  <c r="K116" i="11"/>
  <c r="K115" i="11"/>
  <c r="K114" i="11"/>
  <c r="K113" i="11"/>
  <c r="K112" i="11"/>
  <c r="K111" i="11"/>
  <c r="K110" i="11"/>
  <c r="K109" i="11"/>
  <c r="K108" i="11"/>
  <c r="K107" i="11"/>
  <c r="K106" i="11"/>
  <c r="K105" i="11"/>
  <c r="K104" i="11"/>
  <c r="K103" i="11"/>
  <c r="K102" i="11"/>
  <c r="K101" i="11"/>
  <c r="K100" i="11"/>
  <c r="K99" i="11"/>
  <c r="K98" i="11"/>
  <c r="K97" i="11"/>
  <c r="K96" i="11"/>
  <c r="K95" i="11"/>
  <c r="K94" i="11"/>
  <c r="K93" i="11"/>
  <c r="K92" i="11"/>
  <c r="K91" i="11"/>
  <c r="K90" i="11"/>
  <c r="K89" i="11"/>
  <c r="K88" i="11"/>
  <c r="K87" i="11"/>
  <c r="K86" i="11"/>
  <c r="K85" i="11"/>
  <c r="K84" i="11"/>
  <c r="K83" i="11"/>
  <c r="K82" i="11"/>
  <c r="K81" i="11"/>
  <c r="K80" i="11"/>
  <c r="K79" i="11"/>
  <c r="K78" i="11"/>
  <c r="K77" i="11"/>
  <c r="K76" i="11"/>
  <c r="K75" i="11"/>
  <c r="K74" i="11"/>
  <c r="K73" i="11"/>
  <c r="K72" i="11"/>
  <c r="K71" i="11"/>
  <c r="K70" i="11"/>
  <c r="K69" i="11"/>
  <c r="K68" i="11"/>
  <c r="K67" i="11"/>
  <c r="K66" i="11"/>
  <c r="K65" i="11"/>
  <c r="K64" i="11"/>
  <c r="K63" i="11"/>
  <c r="K62" i="11"/>
  <c r="K61" i="11"/>
  <c r="K60" i="11"/>
  <c r="K59" i="11"/>
  <c r="K58" i="11"/>
  <c r="K57" i="11"/>
  <c r="K56" i="11"/>
  <c r="K55" i="11"/>
  <c r="K54" i="11"/>
  <c r="K53" i="11"/>
  <c r="K52" i="11"/>
  <c r="K51" i="11"/>
  <c r="K50" i="11"/>
  <c r="K49" i="11"/>
  <c r="K48" i="11"/>
  <c r="K47" i="11"/>
  <c r="K46" i="11"/>
  <c r="K45" i="11"/>
  <c r="K44" i="11"/>
  <c r="K43" i="11"/>
  <c r="K42" i="11"/>
  <c r="K41" i="11"/>
  <c r="K40" i="11"/>
  <c r="K39" i="11"/>
  <c r="K38" i="11"/>
  <c r="K37" i="11"/>
  <c r="K36" i="11"/>
  <c r="K35" i="11"/>
  <c r="K34" i="11"/>
  <c r="K33" i="11"/>
  <c r="K32" i="11"/>
  <c r="K31" i="11"/>
  <c r="K30" i="11"/>
  <c r="K29" i="11"/>
  <c r="K28" i="11"/>
  <c r="K27" i="11"/>
  <c r="K26" i="11"/>
  <c r="K25" i="11"/>
  <c r="K24" i="11"/>
  <c r="K23" i="11"/>
  <c r="K22" i="11"/>
  <c r="K21" i="11"/>
  <c r="K20" i="11"/>
  <c r="K18" i="11"/>
  <c r="K17" i="11"/>
  <c r="K16" i="11"/>
  <c r="K15" i="11"/>
  <c r="K14" i="11"/>
  <c r="K13" i="11"/>
  <c r="K12" i="11"/>
  <c r="K11" i="11"/>
  <c r="K10" i="11"/>
  <c r="K9" i="11"/>
  <c r="K8" i="11"/>
  <c r="K7" i="11"/>
  <c r="K6" i="11"/>
  <c r="N5" i="11"/>
  <c r="K5" i="11"/>
  <c r="V12" i="5"/>
  <c r="X12" i="5" s="1"/>
  <c r="Y12" i="5" s="1"/>
  <c r="P20" i="11" l="1"/>
  <c r="M20" i="11"/>
  <c r="Q20" i="11" l="1"/>
  <c r="F623" i="1" l="1"/>
  <c r="J405" i="2"/>
  <c r="J228" i="2"/>
  <c r="J227" i="2"/>
  <c r="N48" i="8" l="1"/>
  <c r="K53" i="6"/>
  <c r="K31" i="6"/>
  <c r="L69" i="3"/>
  <c r="L70" i="3" s="1"/>
  <c r="L77" i="3" s="1"/>
  <c r="J69" i="3"/>
  <c r="G69" i="3"/>
  <c r="F69" i="3"/>
  <c r="J68" i="3"/>
  <c r="M68" i="3" s="1"/>
  <c r="E68" i="3"/>
  <c r="J67" i="3"/>
  <c r="M67" i="3" s="1"/>
  <c r="F67" i="3"/>
  <c r="E67" i="3"/>
  <c r="J66" i="3"/>
  <c r="M66" i="3" s="1"/>
  <c r="E66" i="3"/>
  <c r="J65" i="3"/>
  <c r="M65" i="3" s="1"/>
  <c r="G65" i="3"/>
  <c r="F65" i="3"/>
  <c r="J64" i="3"/>
  <c r="M64" i="3" s="1"/>
  <c r="G64" i="3"/>
  <c r="E64" i="3"/>
  <c r="K63" i="3"/>
  <c r="K70" i="3" s="1"/>
  <c r="K77" i="3" s="1"/>
  <c r="G63" i="3"/>
  <c r="F63" i="3"/>
  <c r="E63" i="3"/>
  <c r="M62" i="3"/>
  <c r="F62" i="3"/>
  <c r="E62" i="3"/>
  <c r="C58" i="3"/>
  <c r="J46" i="3"/>
  <c r="J45" i="3"/>
  <c r="J44" i="3"/>
  <c r="F44" i="3"/>
  <c r="J43" i="3"/>
  <c r="F43" i="3"/>
  <c r="J42" i="3"/>
  <c r="F42" i="3"/>
  <c r="L41" i="3"/>
  <c r="L47" i="3" s="1"/>
  <c r="J41" i="3"/>
  <c r="G41" i="3"/>
  <c r="F41" i="3"/>
  <c r="J40" i="3"/>
  <c r="F40" i="3"/>
  <c r="J39" i="3"/>
  <c r="J47" i="3" s="1"/>
  <c r="F39" i="3"/>
  <c r="F38" i="3"/>
  <c r="C34" i="3"/>
  <c r="O23" i="3"/>
  <c r="L23" i="3"/>
  <c r="J23" i="3"/>
  <c r="I23" i="3"/>
  <c r="G23" i="3"/>
  <c r="F23" i="3"/>
  <c r="E23" i="3"/>
  <c r="M22" i="3"/>
  <c r="H22" i="3"/>
  <c r="M21" i="3"/>
  <c r="H21" i="3"/>
  <c r="L18" i="3"/>
  <c r="I18" i="3"/>
  <c r="J17" i="3"/>
  <c r="M17" i="3" s="1"/>
  <c r="I46" i="3" s="1"/>
  <c r="F17" i="3"/>
  <c r="E17" i="3"/>
  <c r="O17" i="3" s="1"/>
  <c r="J16" i="3"/>
  <c r="M16" i="3" s="1"/>
  <c r="I45" i="3" s="1"/>
  <c r="F16" i="3"/>
  <c r="E16" i="3"/>
  <c r="J15" i="3"/>
  <c r="M15" i="3" s="1"/>
  <c r="I44" i="3" s="1"/>
  <c r="F15" i="3"/>
  <c r="E15" i="3"/>
  <c r="J14" i="3"/>
  <c r="M14" i="3" s="1"/>
  <c r="I43" i="3" s="1"/>
  <c r="M43" i="3" s="1"/>
  <c r="F14" i="3"/>
  <c r="E14" i="3"/>
  <c r="J13" i="3"/>
  <c r="M13" i="3" s="1"/>
  <c r="I42" i="3" s="1"/>
  <c r="G13" i="3"/>
  <c r="F13" i="3"/>
  <c r="E13" i="3"/>
  <c r="O13" i="3" s="1"/>
  <c r="J12" i="3"/>
  <c r="M12" i="3" s="1"/>
  <c r="I41" i="3" s="1"/>
  <c r="G12" i="3"/>
  <c r="F12" i="3"/>
  <c r="E12" i="3"/>
  <c r="O12" i="3" s="1"/>
  <c r="J11" i="3"/>
  <c r="M11" i="3" s="1"/>
  <c r="I40" i="3" s="1"/>
  <c r="G11" i="3"/>
  <c r="F11" i="3"/>
  <c r="E11" i="3"/>
  <c r="O11" i="3" s="1"/>
  <c r="J10" i="3"/>
  <c r="G10" i="3"/>
  <c r="F10" i="3"/>
  <c r="F18" i="3" s="1"/>
  <c r="E10" i="3"/>
  <c r="O10" i="3" s="1"/>
  <c r="M9" i="3"/>
  <c r="I38" i="3" s="1"/>
  <c r="E9" i="3"/>
  <c r="M7" i="3"/>
  <c r="I7" i="3"/>
  <c r="K26" i="6"/>
  <c r="K36" i="6"/>
  <c r="K25" i="6"/>
  <c r="K29" i="6"/>
  <c r="K34" i="6"/>
  <c r="K33" i="6"/>
  <c r="K30" i="6"/>
  <c r="K84" i="6"/>
  <c r="M44" i="3" l="1"/>
  <c r="G70" i="3"/>
  <c r="G77" i="3" s="1"/>
  <c r="E70" i="3"/>
  <c r="E77" i="3" s="1"/>
  <c r="F70" i="3"/>
  <c r="M45" i="3"/>
  <c r="M40" i="3"/>
  <c r="M46" i="3"/>
  <c r="M23" i="3"/>
  <c r="H14" i="3"/>
  <c r="N14" i="3" s="1"/>
  <c r="N22" i="3"/>
  <c r="F47" i="3"/>
  <c r="H41" i="3"/>
  <c r="H67" i="3"/>
  <c r="N67" i="3" s="1"/>
  <c r="H11" i="3"/>
  <c r="E40" i="3" s="1"/>
  <c r="H40" i="3" s="1"/>
  <c r="M42" i="3"/>
  <c r="H69" i="3"/>
  <c r="G47" i="3"/>
  <c r="H12" i="3"/>
  <c r="N12" i="3" s="1"/>
  <c r="O14" i="3"/>
  <c r="G18" i="3"/>
  <c r="H13" i="3"/>
  <c r="E42" i="3" s="1"/>
  <c r="H17" i="3"/>
  <c r="E46" i="3" s="1"/>
  <c r="L84" i="6"/>
  <c r="O41" i="3"/>
  <c r="M41" i="3"/>
  <c r="J63" i="3"/>
  <c r="J70" i="3" s="1"/>
  <c r="J77" i="3" s="1"/>
  <c r="M69" i="3"/>
  <c r="H10" i="3"/>
  <c r="M38" i="3"/>
  <c r="H62" i="3"/>
  <c r="H64" i="3"/>
  <c r="N64" i="3" s="1"/>
  <c r="H65" i="3"/>
  <c r="N65" i="3" s="1"/>
  <c r="H66" i="3"/>
  <c r="N66" i="3" s="1"/>
  <c r="E18" i="3"/>
  <c r="H9" i="3"/>
  <c r="J18" i="3"/>
  <c r="H63" i="3"/>
  <c r="O15" i="3"/>
  <c r="H15" i="3"/>
  <c r="O16" i="3"/>
  <c r="H16" i="3"/>
  <c r="N21" i="3"/>
  <c r="N23" i="3" s="1"/>
  <c r="H23" i="3"/>
  <c r="H68" i="3"/>
  <c r="N68" i="3" s="1"/>
  <c r="M10" i="3"/>
  <c r="F618" i="1"/>
  <c r="F597" i="1"/>
  <c r="F624" i="1"/>
  <c r="G624" i="1"/>
  <c r="G623" i="1"/>
  <c r="G618" i="1"/>
  <c r="G611" i="1"/>
  <c r="G607" i="1"/>
  <c r="G600" i="1"/>
  <c r="F593" i="1" s="1"/>
  <c r="B38" i="14"/>
  <c r="F602" i="1" l="1"/>
  <c r="F607" i="1" s="1"/>
  <c r="G586" i="1"/>
  <c r="C35" i="17"/>
  <c r="E43" i="3"/>
  <c r="H43" i="3" s="1"/>
  <c r="N43" i="3" s="1"/>
  <c r="H70" i="3"/>
  <c r="H77" i="3" s="1"/>
  <c r="F77" i="3"/>
  <c r="N17" i="3"/>
  <c r="N40" i="3"/>
  <c r="F600" i="1"/>
  <c r="F610" i="1" s="1"/>
  <c r="N69" i="3"/>
  <c r="N41" i="3"/>
  <c r="O40" i="3"/>
  <c r="N13" i="3"/>
  <c r="N11" i="3"/>
  <c r="E45" i="3"/>
  <c r="N16" i="3"/>
  <c r="H18" i="3"/>
  <c r="E38" i="3"/>
  <c r="O9" i="3"/>
  <c r="O18" i="3" s="1"/>
  <c r="N9" i="3"/>
  <c r="N10" i="3"/>
  <c r="E39" i="3"/>
  <c r="F91" i="1"/>
  <c r="M63" i="3"/>
  <c r="M70" i="3" s="1"/>
  <c r="M77" i="3" s="1"/>
  <c r="O42" i="3"/>
  <c r="H42" i="3"/>
  <c r="N42" i="3" s="1"/>
  <c r="E44" i="3"/>
  <c r="N15" i="3"/>
  <c r="I39" i="3"/>
  <c r="M18" i="3"/>
  <c r="N62" i="3"/>
  <c r="O46" i="3"/>
  <c r="H46" i="3"/>
  <c r="N46" i="3" s="1"/>
  <c r="G179" i="1"/>
  <c r="F513" i="1"/>
  <c r="F609" i="1" l="1"/>
  <c r="F611" i="1" s="1"/>
  <c r="F586" i="1"/>
  <c r="B11" i="14"/>
  <c r="C12" i="17" s="1"/>
  <c r="I25" i="15"/>
  <c r="F25" i="15" s="1"/>
  <c r="O43" i="3"/>
  <c r="K24" i="6"/>
  <c r="L36" i="6" s="1"/>
  <c r="E21" i="4"/>
  <c r="M39" i="3"/>
  <c r="M47" i="3" s="1"/>
  <c r="I47" i="3"/>
  <c r="O39" i="3"/>
  <c r="H39" i="3"/>
  <c r="E47" i="3"/>
  <c r="O38" i="3"/>
  <c r="H38" i="3"/>
  <c r="N63" i="3"/>
  <c r="N71" i="3" s="1"/>
  <c r="N18" i="3"/>
  <c r="O44" i="3"/>
  <c r="H44" i="3"/>
  <c r="N44" i="3" s="1"/>
  <c r="O45" i="3"/>
  <c r="H45" i="3"/>
  <c r="N45" i="3" s="1"/>
  <c r="F450" i="1"/>
  <c r="N70" i="3" l="1"/>
  <c r="N77" i="3" s="1"/>
  <c r="F8" i="1"/>
  <c r="N39" i="3"/>
  <c r="H47" i="3"/>
  <c r="N38" i="3"/>
  <c r="O47" i="3"/>
  <c r="E39" i="10"/>
  <c r="K20" i="10"/>
  <c r="E30" i="10"/>
  <c r="K34" i="10"/>
  <c r="E45" i="10"/>
  <c r="E21" i="10"/>
  <c r="C10" i="16" l="1"/>
  <c r="J8" i="1"/>
  <c r="N47" i="3"/>
  <c r="F37" i="4"/>
  <c r="I146" i="4"/>
  <c r="J146" i="4" s="1"/>
  <c r="I145" i="4"/>
  <c r="J145" i="4" s="1"/>
  <c r="I144" i="4"/>
  <c r="J144" i="4" s="1"/>
  <c r="I143" i="4"/>
  <c r="J143" i="4" s="1"/>
  <c r="I142" i="4"/>
  <c r="J142" i="4" s="1"/>
  <c r="I141" i="4"/>
  <c r="J141" i="4" s="1"/>
  <c r="I140" i="4"/>
  <c r="J140" i="4" s="1"/>
  <c r="I139" i="4"/>
  <c r="J139" i="4" s="1"/>
  <c r="I138" i="4"/>
  <c r="J138" i="4" s="1"/>
  <c r="I137" i="4"/>
  <c r="J137" i="4" s="1"/>
  <c r="I136" i="4"/>
  <c r="J136" i="4" s="1"/>
  <c r="I135" i="4"/>
  <c r="J135" i="4" s="1"/>
  <c r="I134" i="4"/>
  <c r="J134" i="4" s="1"/>
  <c r="I133" i="4"/>
  <c r="J133" i="4" s="1"/>
  <c r="I132" i="4"/>
  <c r="J132" i="4" s="1"/>
  <c r="I131" i="4"/>
  <c r="J131" i="4" s="1"/>
  <c r="I130" i="4"/>
  <c r="J130" i="4" s="1"/>
  <c r="I129" i="4"/>
  <c r="J129" i="4" s="1"/>
  <c r="I128" i="4"/>
  <c r="J128" i="4" s="1"/>
  <c r="I127" i="4"/>
  <c r="J127" i="4" s="1"/>
  <c r="I126" i="4"/>
  <c r="J126" i="4" s="1"/>
  <c r="I125" i="4"/>
  <c r="J125" i="4" s="1"/>
  <c r="I124" i="4"/>
  <c r="J124" i="4" s="1"/>
  <c r="I123" i="4"/>
  <c r="J123" i="4" s="1"/>
  <c r="I122" i="4"/>
  <c r="J122" i="4" s="1"/>
  <c r="I121" i="4"/>
  <c r="J121" i="4" s="1"/>
  <c r="I120" i="4"/>
  <c r="J120" i="4" s="1"/>
  <c r="I119" i="4"/>
  <c r="J119" i="4" s="1"/>
  <c r="I118" i="4"/>
  <c r="J118" i="4" s="1"/>
  <c r="I117" i="4"/>
  <c r="J117" i="4" s="1"/>
  <c r="I116" i="4"/>
  <c r="J116" i="4" s="1"/>
  <c r="I115" i="4"/>
  <c r="J115" i="4" s="1"/>
  <c r="I114" i="4"/>
  <c r="J114" i="4" s="1"/>
  <c r="I113" i="4"/>
  <c r="J113" i="4" s="1"/>
  <c r="I112" i="4"/>
  <c r="J112" i="4" s="1"/>
  <c r="I111" i="4"/>
  <c r="J111" i="4" s="1"/>
  <c r="I110" i="4"/>
  <c r="J110" i="4" s="1"/>
  <c r="I109" i="4"/>
  <c r="J109" i="4" s="1"/>
  <c r="I108" i="4"/>
  <c r="J108" i="4" s="1"/>
  <c r="I107" i="4"/>
  <c r="J107" i="4" s="1"/>
  <c r="I106" i="4"/>
  <c r="J106" i="4" s="1"/>
  <c r="I105" i="4"/>
  <c r="J105" i="4" s="1"/>
  <c r="I104" i="4"/>
  <c r="J104" i="4" s="1"/>
  <c r="I103" i="4"/>
  <c r="J103" i="4" s="1"/>
  <c r="I102" i="4"/>
  <c r="J102" i="4" s="1"/>
  <c r="I101" i="4"/>
  <c r="J101" i="4" s="1"/>
  <c r="I100" i="4"/>
  <c r="J100" i="4" s="1"/>
  <c r="I99" i="4"/>
  <c r="J99" i="4" s="1"/>
  <c r="I98" i="4"/>
  <c r="J98" i="4" s="1"/>
  <c r="I97" i="4"/>
  <c r="J97" i="4" s="1"/>
  <c r="I96" i="4"/>
  <c r="J96" i="4" s="1"/>
  <c r="I95" i="4"/>
  <c r="J95" i="4" s="1"/>
  <c r="I94" i="4"/>
  <c r="J94" i="4" s="1"/>
  <c r="I93" i="4"/>
  <c r="J93" i="4" s="1"/>
  <c r="I92" i="4"/>
  <c r="J92" i="4" s="1"/>
  <c r="I91" i="4"/>
  <c r="J91" i="4" s="1"/>
  <c r="I90" i="4"/>
  <c r="J90" i="4" s="1"/>
  <c r="I89" i="4"/>
  <c r="J89" i="4" s="1"/>
  <c r="I88" i="4"/>
  <c r="J88" i="4" s="1"/>
  <c r="I87" i="4"/>
  <c r="J87" i="4" s="1"/>
  <c r="I86" i="4"/>
  <c r="J86" i="4" s="1"/>
  <c r="I85" i="4"/>
  <c r="J85" i="4" s="1"/>
  <c r="I84" i="4"/>
  <c r="J84" i="4" s="1"/>
  <c r="I83" i="4"/>
  <c r="J83" i="4" s="1"/>
  <c r="I82" i="4"/>
  <c r="J82" i="4" s="1"/>
  <c r="I81" i="4"/>
  <c r="J81" i="4" s="1"/>
  <c r="I80" i="4"/>
  <c r="J80" i="4" s="1"/>
  <c r="I79" i="4"/>
  <c r="J79" i="4" s="1"/>
  <c r="I78" i="4"/>
  <c r="J78" i="4" s="1"/>
  <c r="I77" i="4"/>
  <c r="J77" i="4" s="1"/>
  <c r="I76" i="4"/>
  <c r="J76" i="4" s="1"/>
  <c r="I75" i="4"/>
  <c r="J75" i="4" s="1"/>
  <c r="I74" i="4"/>
  <c r="J74" i="4" s="1"/>
  <c r="I73" i="4"/>
  <c r="J73" i="4" s="1"/>
  <c r="I72" i="4"/>
  <c r="J72" i="4" s="1"/>
  <c r="I71" i="4"/>
  <c r="J71" i="4" s="1"/>
  <c r="I70" i="4"/>
  <c r="J70" i="4" s="1"/>
  <c r="I69" i="4"/>
  <c r="J69" i="4" s="1"/>
  <c r="I68" i="4"/>
  <c r="J68" i="4" s="1"/>
  <c r="I67" i="4"/>
  <c r="J67" i="4" s="1"/>
  <c r="I66" i="4"/>
  <c r="J66" i="4" s="1"/>
  <c r="I65" i="4"/>
  <c r="J65" i="4" s="1"/>
  <c r="I64" i="4"/>
  <c r="J64" i="4" s="1"/>
  <c r="I63" i="4"/>
  <c r="J63" i="4" s="1"/>
  <c r="I62" i="4"/>
  <c r="J62" i="4" s="1"/>
  <c r="I61" i="4"/>
  <c r="J61" i="4" s="1"/>
  <c r="I60" i="4"/>
  <c r="J60" i="4" s="1"/>
  <c r="I59" i="4"/>
  <c r="J59" i="4" s="1"/>
  <c r="I58" i="4"/>
  <c r="J58" i="4" s="1"/>
  <c r="I57" i="4"/>
  <c r="J57" i="4" s="1"/>
  <c r="I56" i="4"/>
  <c r="J56" i="4" s="1"/>
  <c r="I55" i="4"/>
  <c r="J55" i="4" s="1"/>
  <c r="I54" i="4"/>
  <c r="J54" i="4" s="1"/>
  <c r="I53" i="4"/>
  <c r="J53" i="4" s="1"/>
  <c r="I52" i="4"/>
  <c r="J52" i="4" s="1"/>
  <c r="I51" i="4"/>
  <c r="J51" i="4" s="1"/>
  <c r="I50" i="4"/>
  <c r="J50" i="4" s="1"/>
  <c r="I49" i="4"/>
  <c r="J49" i="4" s="1"/>
  <c r="I48" i="4"/>
  <c r="J48" i="4" s="1"/>
  <c r="I47" i="4"/>
  <c r="J47" i="4" s="1"/>
  <c r="I46" i="4"/>
  <c r="J26" i="4"/>
  <c r="J25" i="4"/>
  <c r="J22" i="4"/>
  <c r="J12" i="4"/>
  <c r="J11" i="4"/>
  <c r="G450" i="1"/>
  <c r="G462" i="1"/>
  <c r="D37" i="4" l="1"/>
  <c r="E37" i="4" s="1"/>
  <c r="J46" i="4"/>
  <c r="H21" i="4"/>
  <c r="J21" i="4" s="1"/>
  <c r="G25" i="4"/>
  <c r="B23" i="4"/>
  <c r="G22" i="4"/>
  <c r="B19" i="4"/>
  <c r="B18" i="4"/>
  <c r="G12" i="4"/>
  <c r="E11" i="4"/>
  <c r="G11" i="4" s="1"/>
  <c r="H17" i="4" l="1"/>
  <c r="J17" i="4" s="1"/>
  <c r="Q450" i="1" l="1"/>
  <c r="N450" i="1"/>
  <c r="K450" i="1"/>
  <c r="F49" i="5"/>
  <c r="P45" i="5"/>
  <c r="M45" i="5"/>
  <c r="J45" i="5"/>
  <c r="F45" i="5"/>
  <c r="G38" i="5"/>
  <c r="D36" i="5"/>
  <c r="Q34" i="5"/>
  <c r="T34" i="5" s="1"/>
  <c r="O34" i="5"/>
  <c r="J34" i="5"/>
  <c r="F33" i="5"/>
  <c r="P32" i="5"/>
  <c r="P31" i="5"/>
  <c r="F31" i="5"/>
  <c r="P30" i="5"/>
  <c r="F30" i="5"/>
  <c r="P29" i="5"/>
  <c r="P28" i="5"/>
  <c r="P27" i="5"/>
  <c r="P26" i="5"/>
  <c r="P25" i="5"/>
  <c r="P24" i="5"/>
  <c r="P23" i="5"/>
  <c r="P22" i="5"/>
  <c r="P21" i="5"/>
  <c r="P20" i="5"/>
  <c r="P19" i="5"/>
  <c r="F19" i="5"/>
  <c r="P18" i="5"/>
  <c r="F18" i="5"/>
  <c r="P17" i="5"/>
  <c r="F17" i="5"/>
  <c r="P16" i="5"/>
  <c r="F16" i="5"/>
  <c r="P15" i="5"/>
  <c r="F15" i="5"/>
  <c r="P14" i="5"/>
  <c r="F14" i="5"/>
  <c r="P13" i="5"/>
  <c r="F13" i="5"/>
  <c r="P12" i="5"/>
  <c r="F12" i="5"/>
  <c r="Q10" i="5"/>
  <c r="O10" i="5"/>
  <c r="O38" i="5" s="1"/>
  <c r="L10" i="5"/>
  <c r="K10" i="5"/>
  <c r="K38" i="5" s="1"/>
  <c r="K47" i="5" s="1"/>
  <c r="K53" i="5" s="1"/>
  <c r="G10" i="5"/>
  <c r="D10" i="5"/>
  <c r="D38" i="5" s="1"/>
  <c r="P9" i="5"/>
  <c r="J9" i="5"/>
  <c r="F9" i="5"/>
  <c r="F36" i="5" l="1"/>
  <c r="N34" i="5" s="1"/>
  <c r="L34" i="5"/>
  <c r="L38" i="5" s="1"/>
  <c r="F10" i="5"/>
  <c r="N9" i="5"/>
  <c r="Q38" i="5"/>
  <c r="F442" i="1" s="1"/>
  <c r="F34" i="5"/>
  <c r="P480" i="11"/>
  <c r="M480" i="11"/>
  <c r="F372" i="12"/>
  <c r="H372" i="12" s="1"/>
  <c r="E372" i="12"/>
  <c r="G372" i="12" s="1"/>
  <c r="P61" i="11"/>
  <c r="M61" i="11"/>
  <c r="F342" i="12"/>
  <c r="H342" i="12" s="1"/>
  <c r="E342" i="12"/>
  <c r="G342" i="12" s="1"/>
  <c r="P336" i="11"/>
  <c r="M336" i="11"/>
  <c r="F174" i="12"/>
  <c r="H174" i="12" s="1"/>
  <c r="E174" i="12"/>
  <c r="G174" i="12" s="1"/>
  <c r="P167" i="11"/>
  <c r="M167" i="11"/>
  <c r="F134" i="12"/>
  <c r="H134" i="12" s="1"/>
  <c r="E134" i="12"/>
  <c r="G134" i="12" s="1"/>
  <c r="P166" i="11"/>
  <c r="M166" i="11"/>
  <c r="F133" i="12"/>
  <c r="H133" i="12" s="1"/>
  <c r="E133" i="12"/>
  <c r="G133" i="12" s="1"/>
  <c r="P60" i="11"/>
  <c r="M60" i="11"/>
  <c r="F53" i="12"/>
  <c r="H53" i="12" s="1"/>
  <c r="E53" i="12"/>
  <c r="G53" i="12" s="1"/>
  <c r="F293" i="1"/>
  <c r="N10" i="5" l="1"/>
  <c r="M9" i="5"/>
  <c r="F38" i="5"/>
  <c r="Q47" i="5"/>
  <c r="F539" i="1"/>
  <c r="F549" i="1"/>
  <c r="M34" i="5"/>
  <c r="J292" i="1"/>
  <c r="Q480" i="11"/>
  <c r="Q61" i="11"/>
  <c r="Q336" i="11"/>
  <c r="Q167" i="11"/>
  <c r="Q166" i="11"/>
  <c r="Q60" i="11"/>
  <c r="I133" i="12"/>
  <c r="I342" i="12"/>
  <c r="I174" i="12"/>
  <c r="I53" i="12"/>
  <c r="I134" i="12"/>
  <c r="I372" i="12"/>
  <c r="E48" i="8"/>
  <c r="I29" i="7"/>
  <c r="L8" i="7"/>
  <c r="L9" i="7" s="1"/>
  <c r="F74" i="8"/>
  <c r="D67" i="8"/>
  <c r="F67" i="8" s="1"/>
  <c r="F70" i="8" s="1"/>
  <c r="D66" i="8"/>
  <c r="F66" i="8" s="1"/>
  <c r="J63" i="8"/>
  <c r="K63" i="8" s="1"/>
  <c r="E63" i="8"/>
  <c r="F62" i="8"/>
  <c r="Q58" i="8"/>
  <c r="N58" i="8"/>
  <c r="M58" i="8"/>
  <c r="J58" i="8"/>
  <c r="I58" i="8"/>
  <c r="H58" i="8"/>
  <c r="G58" i="8"/>
  <c r="F58" i="8"/>
  <c r="E58" i="8"/>
  <c r="L56" i="8"/>
  <c r="L58" i="8" s="1"/>
  <c r="K56" i="8"/>
  <c r="K58" i="8" s="1"/>
  <c r="Q52" i="8"/>
  <c r="N52" i="8"/>
  <c r="N53" i="8" s="1"/>
  <c r="M52" i="8"/>
  <c r="J52" i="8"/>
  <c r="G52" i="8"/>
  <c r="F52" i="8"/>
  <c r="E52" i="8"/>
  <c r="L50" i="8"/>
  <c r="O50" i="8" s="1"/>
  <c r="O52" i="8" s="1"/>
  <c r="K50" i="8"/>
  <c r="K52" i="8" s="1"/>
  <c r="J48" i="8"/>
  <c r="I48" i="8"/>
  <c r="I53" i="8" s="1"/>
  <c r="H48" i="8"/>
  <c r="H53" i="8" s="1"/>
  <c r="G48" i="8"/>
  <c r="G53" i="8" s="1"/>
  <c r="F48" i="8"/>
  <c r="F53" i="8" s="1"/>
  <c r="E53" i="8"/>
  <c r="L46" i="8"/>
  <c r="K46" i="8"/>
  <c r="L45" i="8"/>
  <c r="O45" i="8" s="1"/>
  <c r="K45" i="8"/>
  <c r="Q44" i="8"/>
  <c r="M44" i="8"/>
  <c r="M48" i="8" s="1"/>
  <c r="L44" i="8"/>
  <c r="K44" i="8"/>
  <c r="K48" i="8" s="1"/>
  <c r="Q41" i="8"/>
  <c r="N41" i="8"/>
  <c r="M41" i="8"/>
  <c r="J41" i="8"/>
  <c r="I41" i="8"/>
  <c r="H41" i="8"/>
  <c r="G41" i="8"/>
  <c r="F41" i="8"/>
  <c r="E41" i="8"/>
  <c r="L39" i="8"/>
  <c r="L41" i="8" s="1"/>
  <c r="K39" i="8"/>
  <c r="Q35" i="8"/>
  <c r="N35" i="8"/>
  <c r="M35" i="8"/>
  <c r="J35" i="8"/>
  <c r="I35" i="8"/>
  <c r="H35" i="8"/>
  <c r="G35" i="8"/>
  <c r="F35" i="8"/>
  <c r="E35" i="8"/>
  <c r="L33" i="8"/>
  <c r="L35" i="8" s="1"/>
  <c r="K33" i="8"/>
  <c r="Q31" i="8"/>
  <c r="N31" i="8"/>
  <c r="M31" i="8"/>
  <c r="J31" i="8"/>
  <c r="I31" i="8"/>
  <c r="H31" i="8"/>
  <c r="G31" i="8"/>
  <c r="F31" i="8"/>
  <c r="E31" i="8"/>
  <c r="L29" i="8"/>
  <c r="L31" i="8" s="1"/>
  <c r="K29" i="8"/>
  <c r="K31" i="8" s="1"/>
  <c r="Q26" i="8"/>
  <c r="N26" i="8"/>
  <c r="M26" i="8"/>
  <c r="J26" i="8"/>
  <c r="G26" i="8"/>
  <c r="F26" i="8"/>
  <c r="E26" i="8"/>
  <c r="L24" i="8"/>
  <c r="L26" i="8" s="1"/>
  <c r="K24" i="8"/>
  <c r="Q21" i="8"/>
  <c r="N21" i="8"/>
  <c r="M21" i="8"/>
  <c r="J21" i="8"/>
  <c r="I21" i="8"/>
  <c r="H21" i="8"/>
  <c r="G21" i="8"/>
  <c r="F21" i="8"/>
  <c r="E21" i="8"/>
  <c r="L19" i="8"/>
  <c r="L21" i="8" s="1"/>
  <c r="K19" i="8"/>
  <c r="K21" i="8" s="1"/>
  <c r="I84" i="6"/>
  <c r="I20" i="7"/>
  <c r="F47" i="5" l="1"/>
  <c r="F53" i="5" s="1"/>
  <c r="G539" i="1"/>
  <c r="N38" i="5"/>
  <c r="N47" i="5" s="1"/>
  <c r="N53" i="5" s="1"/>
  <c r="F559" i="1"/>
  <c r="F560" i="1" s="1"/>
  <c r="H36" i="8"/>
  <c r="J36" i="8"/>
  <c r="M53" i="8"/>
  <c r="M60" i="8" s="1"/>
  <c r="N36" i="8"/>
  <c r="N60" i="8" s="1"/>
  <c r="M36" i="8"/>
  <c r="P39" i="8"/>
  <c r="P41" i="8" s="1"/>
  <c r="L48" i="8"/>
  <c r="I36" i="8"/>
  <c r="I60" i="8" s="1"/>
  <c r="Q36" i="8"/>
  <c r="J53" i="8"/>
  <c r="J60" i="8" s="1"/>
  <c r="L10" i="7"/>
  <c r="L11" i="7" s="1"/>
  <c r="J7" i="7" s="1"/>
  <c r="K53" i="8"/>
  <c r="F69" i="8"/>
  <c r="O44" i="8"/>
  <c r="K41" i="8"/>
  <c r="F36" i="8"/>
  <c r="F60" i="8" s="1"/>
  <c r="G36" i="8"/>
  <c r="G60" i="8" s="1"/>
  <c r="P45" i="8"/>
  <c r="O39" i="8"/>
  <c r="O41" i="8" s="1"/>
  <c r="O33" i="8"/>
  <c r="O35" i="8" s="1"/>
  <c r="P33" i="8"/>
  <c r="P35" i="8" s="1"/>
  <c r="E36" i="8"/>
  <c r="E60" i="8" s="1"/>
  <c r="P24" i="8"/>
  <c r="P26" i="8" s="1"/>
  <c r="O24" i="8"/>
  <c r="O26" i="8" s="1"/>
  <c r="L36" i="8"/>
  <c r="H60" i="8"/>
  <c r="L52" i="8"/>
  <c r="O19" i="8"/>
  <c r="O21" i="8" s="1"/>
  <c r="O29" i="8"/>
  <c r="O31" i="8" s="1"/>
  <c r="M46" i="8"/>
  <c r="O46" i="8" s="1"/>
  <c r="Q46" i="8"/>
  <c r="Q48" i="8" s="1"/>
  <c r="Q53" i="8" s="1"/>
  <c r="O56" i="8"/>
  <c r="O58" i="8" s="1"/>
  <c r="P50" i="8"/>
  <c r="P52" i="8" s="1"/>
  <c r="P56" i="8"/>
  <c r="P58" i="8" s="1"/>
  <c r="K26" i="8"/>
  <c r="P44" i="8"/>
  <c r="P19" i="8"/>
  <c r="P21" i="8" s="1"/>
  <c r="P29" i="8"/>
  <c r="P31" i="8" s="1"/>
  <c r="K35" i="8"/>
  <c r="K36" i="8" s="1"/>
  <c r="F550" i="1" l="1"/>
  <c r="O36" i="8"/>
  <c r="Q60" i="8"/>
  <c r="O48" i="8"/>
  <c r="O53" i="8" s="1"/>
  <c r="O60" i="8" s="1"/>
  <c r="I42" i="6" s="1"/>
  <c r="J50" i="6" s="1"/>
  <c r="J24" i="7"/>
  <c r="K60" i="8"/>
  <c r="L53" i="8"/>
  <c r="P36" i="8"/>
  <c r="P46" i="8"/>
  <c r="P48" i="8" s="1"/>
  <c r="P53" i="8" s="1"/>
  <c r="K64" i="8"/>
  <c r="F63" i="8"/>
  <c r="P60" i="8" l="1"/>
  <c r="P62" i="8" s="1"/>
  <c r="P64" i="8" s="1"/>
  <c r="K42" i="6"/>
  <c r="L50" i="6" s="1"/>
  <c r="L60" i="8"/>
  <c r="N62" i="8" s="1"/>
  <c r="N63" i="8" s="1"/>
  <c r="P61" i="8" l="1"/>
  <c r="I14" i="7"/>
  <c r="L62" i="8"/>
  <c r="M63" i="8" s="1"/>
  <c r="M64" i="8" s="1"/>
  <c r="P65" i="8" s="1"/>
  <c r="P37" i="9"/>
  <c r="I30" i="6"/>
  <c r="I29" i="6"/>
  <c r="I33" i="6"/>
  <c r="I36" i="6"/>
  <c r="I34" i="6"/>
  <c r="I18" i="7" l="1"/>
  <c r="D157" i="6"/>
  <c r="G157" i="6" s="1"/>
  <c r="D151" i="6"/>
  <c r="C147" i="6"/>
  <c r="C146" i="6"/>
  <c r="C145" i="6"/>
  <c r="A104" i="6"/>
  <c r="A102" i="6"/>
  <c r="A109" i="6" s="1"/>
  <c r="J97" i="6"/>
  <c r="I97" i="6"/>
  <c r="H97" i="6"/>
  <c r="G97" i="6"/>
  <c r="F97" i="6"/>
  <c r="E68" i="6"/>
  <c r="I53" i="6"/>
  <c r="I25" i="6"/>
  <c r="I26" i="6"/>
  <c r="N30" i="6" l="1"/>
  <c r="I19" i="7"/>
  <c r="I21" i="7" s="1"/>
  <c r="D147" i="6"/>
  <c r="D152" i="6" s="1"/>
  <c r="G412" i="1"/>
  <c r="G415" i="1" l="1"/>
  <c r="I25" i="7"/>
  <c r="J21" i="7"/>
  <c r="J25" i="7" l="1"/>
  <c r="J27" i="7" s="1"/>
  <c r="N36" i="9" l="1"/>
  <c r="P36" i="9" s="1"/>
  <c r="P35" i="9" l="1"/>
  <c r="N10" i="9" l="1"/>
  <c r="M10" i="9"/>
  <c r="O9" i="9"/>
  <c r="O8" i="9"/>
  <c r="O7" i="9"/>
  <c r="O6" i="9"/>
  <c r="O5" i="9"/>
  <c r="O4" i="9"/>
  <c r="O10" i="9" l="1"/>
  <c r="K54" i="10"/>
  <c r="L54" i="10" s="1"/>
  <c r="K53" i="10"/>
  <c r="L53" i="10" s="1"/>
  <c r="K52" i="10"/>
  <c r="D53" i="10"/>
  <c r="E53" i="10" s="1"/>
  <c r="D52" i="10"/>
  <c r="E52" i="10" s="1"/>
  <c r="C47" i="10"/>
  <c r="C46" i="10"/>
  <c r="D54" i="10" s="1"/>
  <c r="C54" i="10" s="1"/>
  <c r="E54" i="10" s="1"/>
  <c r="C45" i="10"/>
  <c r="C30" i="10"/>
  <c r="C23" i="10"/>
  <c r="C22" i="10"/>
  <c r="D51" i="10" s="1"/>
  <c r="C51" i="10" s="1"/>
  <c r="E51" i="10" s="1"/>
  <c r="I20" i="10"/>
  <c r="I34" i="10"/>
  <c r="I28" i="10"/>
  <c r="F435" i="1"/>
  <c r="E55" i="10" l="1"/>
  <c r="J55" i="10"/>
  <c r="F344" i="1" s="1"/>
  <c r="D55" i="10"/>
  <c r="F400" i="1" s="1"/>
  <c r="C55" i="10"/>
  <c r="F339" i="1" s="1"/>
  <c r="K55" i="10"/>
  <c r="F401" i="1" s="1"/>
  <c r="L52" i="10"/>
  <c r="L55" i="10" s="1"/>
  <c r="P354" i="11"/>
  <c r="M354" i="11"/>
  <c r="F147" i="12"/>
  <c r="H147" i="12" s="1"/>
  <c r="M196" i="11"/>
  <c r="F285" i="12"/>
  <c r="H285" i="12" s="1"/>
  <c r="E285" i="12"/>
  <c r="G285" i="12" s="1"/>
  <c r="M195" i="11"/>
  <c r="F248" i="12"/>
  <c r="H248" i="12" s="1"/>
  <c r="E248" i="12"/>
  <c r="G248" i="12" s="1"/>
  <c r="G372" i="1" l="1"/>
  <c r="I10" i="7"/>
  <c r="I32" i="7" s="1"/>
  <c r="I248" i="12"/>
  <c r="I285" i="12"/>
  <c r="E147" i="12"/>
  <c r="G147" i="12" s="1"/>
  <c r="I147" i="12" s="1"/>
  <c r="C4" i="9"/>
  <c r="C6" i="9" s="1"/>
  <c r="B33" i="9"/>
  <c r="D5" i="9"/>
  <c r="D6" i="9" s="1"/>
  <c r="F281" i="1" s="1"/>
  <c r="F280" i="1" s="1"/>
  <c r="G517" i="1"/>
  <c r="G522" i="1" s="1"/>
  <c r="F517" i="1"/>
  <c r="F522" i="1" s="1"/>
  <c r="E4" i="9" l="1"/>
  <c r="E5" i="9"/>
  <c r="Q354" i="11"/>
  <c r="G182" i="1"/>
  <c r="G184" i="1" s="1"/>
  <c r="F179" i="1" s="1"/>
  <c r="F182" i="1" s="1"/>
  <c r="F184" i="1" s="1"/>
  <c r="F173" i="1"/>
  <c r="F175" i="1" s="1"/>
  <c r="F177" i="1" s="1"/>
  <c r="F167" i="1"/>
  <c r="F169" i="1" s="1"/>
  <c r="F171" i="1" s="1"/>
  <c r="F160" i="1"/>
  <c r="F162" i="1" s="1"/>
  <c r="F164" i="1" s="1"/>
  <c r="F154" i="1"/>
  <c r="F156" i="1" s="1"/>
  <c r="G293" i="1"/>
  <c r="E6" i="9" l="1"/>
  <c r="B35" i="9" s="1"/>
  <c r="B36" i="9" s="1"/>
  <c r="B39" i="9" s="1"/>
  <c r="H23" i="4"/>
  <c r="J23" i="4" s="1"/>
  <c r="P390" i="11"/>
  <c r="M390" i="11"/>
  <c r="F341" i="12"/>
  <c r="H341" i="12" s="1"/>
  <c r="E341" i="12"/>
  <c r="G341" i="12" s="1"/>
  <c r="P389" i="11"/>
  <c r="M389" i="11"/>
  <c r="F151" i="12"/>
  <c r="H151" i="12" s="1"/>
  <c r="P388" i="11"/>
  <c r="M388" i="11"/>
  <c r="I341" i="12" l="1"/>
  <c r="E151" i="12"/>
  <c r="G151" i="12" s="1"/>
  <c r="I151" i="12" s="1"/>
  <c r="Q390" i="11"/>
  <c r="Q388" i="11"/>
  <c r="Q389" i="11" l="1"/>
  <c r="G36" i="1" l="1"/>
  <c r="D37" i="16" s="1"/>
  <c r="G29" i="1"/>
  <c r="D30" i="16" s="1"/>
  <c r="F29" i="1"/>
  <c r="C30" i="16" s="1"/>
  <c r="G249" i="1"/>
  <c r="G543" i="1" s="1"/>
  <c r="G248" i="1"/>
  <c r="G247" i="1"/>
  <c r="F190" i="1"/>
  <c r="G110" i="1"/>
  <c r="G190" i="1" s="1"/>
  <c r="G102" i="1"/>
  <c r="F501" i="1"/>
  <c r="F503" i="1"/>
  <c r="G502" i="1"/>
  <c r="G503" i="1"/>
  <c r="G501" i="1"/>
  <c r="F502" i="1"/>
  <c r="G21" i="4" l="1"/>
  <c r="I24" i="6"/>
  <c r="J36" i="6" s="1"/>
  <c r="F504" i="1"/>
  <c r="G504" i="1"/>
  <c r="G470" i="1"/>
  <c r="G469" i="1"/>
  <c r="F497" i="1"/>
  <c r="G477" i="1"/>
  <c r="F490" i="1"/>
  <c r="F479" i="1"/>
  <c r="F462" i="1"/>
  <c r="G484" i="1"/>
  <c r="G497" i="1"/>
  <c r="G498" i="1"/>
  <c r="F482" i="1"/>
  <c r="F489" i="1"/>
  <c r="G476" i="1"/>
  <c r="G463" i="1"/>
  <c r="F496" i="1"/>
  <c r="G495" i="1"/>
  <c r="G490" i="1"/>
  <c r="F483" i="1"/>
  <c r="G496" i="1"/>
  <c r="F491" i="1"/>
  <c r="F477" i="1"/>
  <c r="G479" i="1"/>
  <c r="G472" i="1"/>
  <c r="F494" i="1"/>
  <c r="G494" i="1"/>
  <c r="G489" i="1"/>
  <c r="G491" i="1"/>
  <c r="F470" i="1"/>
  <c r="G492" i="1"/>
  <c r="F463" i="1"/>
  <c r="F498" i="1"/>
  <c r="F484" i="1"/>
  <c r="F480" i="1"/>
  <c r="G478" i="1"/>
  <c r="F495" i="1"/>
  <c r="F468" i="1"/>
  <c r="F472" i="1"/>
  <c r="G483" i="1"/>
  <c r="F469" i="1"/>
  <c r="F476" i="1"/>
  <c r="G468" i="1"/>
  <c r="F478" i="1"/>
  <c r="G480" i="1"/>
  <c r="G577" i="1" l="1"/>
  <c r="F576" i="1"/>
  <c r="F577" i="1"/>
  <c r="G576" i="1"/>
  <c r="H19" i="4"/>
  <c r="J19" i="4" s="1"/>
  <c r="E13" i="4"/>
  <c r="G13" i="4" s="1"/>
  <c r="E20" i="4"/>
  <c r="G20" i="4" s="1"/>
  <c r="E19" i="4"/>
  <c r="G19" i="4" s="1"/>
  <c r="H13" i="4"/>
  <c r="J13" i="4" s="1"/>
  <c r="H16" i="4"/>
  <c r="J16" i="4" s="1"/>
  <c r="E17" i="4"/>
  <c r="G17" i="4" s="1"/>
  <c r="E16" i="4"/>
  <c r="G16" i="4" s="1"/>
  <c r="H20" i="4"/>
  <c r="J20" i="4" s="1"/>
  <c r="F499" i="1"/>
  <c r="G499" i="1"/>
  <c r="Q449" i="1"/>
  <c r="N449" i="1"/>
  <c r="K449" i="1"/>
  <c r="R452" i="1"/>
  <c r="G464" i="1" s="1"/>
  <c r="H15" i="4" s="1"/>
  <c r="J15" i="4" s="1"/>
  <c r="L452" i="1"/>
  <c r="O448" i="1"/>
  <c r="G466" i="1"/>
  <c r="K448" i="1"/>
  <c r="N448" i="1"/>
  <c r="Q448" i="1"/>
  <c r="F466" i="1"/>
  <c r="G578" i="1" l="1"/>
  <c r="F578" i="1"/>
  <c r="E18" i="4"/>
  <c r="G18" i="4" s="1"/>
  <c r="H18" i="4"/>
  <c r="J18" i="4" s="1"/>
  <c r="F248" i="1"/>
  <c r="K452" i="1"/>
  <c r="F465" i="1" s="1"/>
  <c r="Q452" i="1"/>
  <c r="F464" i="1" s="1"/>
  <c r="E15" i="4" s="1"/>
  <c r="G15" i="4" s="1"/>
  <c r="O452" i="1"/>
  <c r="G471" i="1" s="1"/>
  <c r="N452" i="1"/>
  <c r="F471" i="1" s="1"/>
  <c r="G465" i="1"/>
  <c r="F454" i="1"/>
  <c r="G455" i="1"/>
  <c r="G454" i="1"/>
  <c r="F455" i="1"/>
  <c r="F473" i="1" l="1"/>
  <c r="F505" i="1" s="1"/>
  <c r="F92" i="1" s="1"/>
  <c r="I27" i="15" s="1"/>
  <c r="F27" i="15" s="1"/>
  <c r="G473" i="1"/>
  <c r="G505" i="1" s="1"/>
  <c r="G92" i="1" s="1"/>
  <c r="J27" i="15" s="1"/>
  <c r="H14" i="4"/>
  <c r="J14" i="4" s="1"/>
  <c r="G567" i="1"/>
  <c r="E14" i="4"/>
  <c r="G14" i="4" s="1"/>
  <c r="F567" i="1"/>
  <c r="F456" i="1"/>
  <c r="F90" i="1" s="1"/>
  <c r="G456" i="1"/>
  <c r="G90" i="1" s="1"/>
  <c r="G449" i="1"/>
  <c r="F449" i="1"/>
  <c r="F451" i="1"/>
  <c r="G451" i="1"/>
  <c r="F554" i="1" l="1"/>
  <c r="F568" i="1"/>
  <c r="G568" i="1"/>
  <c r="G554" i="1"/>
  <c r="C12" i="14"/>
  <c r="J26" i="15"/>
  <c r="B12" i="14"/>
  <c r="C13" i="17" s="1"/>
  <c r="I26" i="15"/>
  <c r="F26" i="15" s="1"/>
  <c r="E10" i="4"/>
  <c r="G10" i="4" s="1"/>
  <c r="H10" i="4"/>
  <c r="J10" i="4" s="1"/>
  <c r="E24" i="4"/>
  <c r="G24" i="4" s="1"/>
  <c r="E23" i="4"/>
  <c r="G23" i="4" s="1"/>
  <c r="H24" i="4"/>
  <c r="J24" i="4" s="1"/>
  <c r="F452" i="1"/>
  <c r="F89" i="1" s="1"/>
  <c r="I24" i="15" s="1"/>
  <c r="F24" i="15" s="1"/>
  <c r="G452" i="1"/>
  <c r="G89" i="1" s="1"/>
  <c r="J24" i="15" s="1"/>
  <c r="G447" i="1"/>
  <c r="G88" i="1" s="1"/>
  <c r="J23" i="15" s="1"/>
  <c r="F445" i="1"/>
  <c r="F247" i="1"/>
  <c r="C50" i="14" l="1"/>
  <c r="D13" i="17"/>
  <c r="R10" i="5"/>
  <c r="D45" i="17" l="1"/>
  <c r="R37" i="5"/>
  <c r="F439" i="1" l="1"/>
  <c r="G422" i="1"/>
  <c r="F436" i="1"/>
  <c r="G431" i="1"/>
  <c r="G436" i="1"/>
  <c r="G440" i="1"/>
  <c r="F440" i="1"/>
  <c r="F431" i="1"/>
  <c r="G435" i="1"/>
  <c r="G424" i="1" l="1"/>
  <c r="G428" i="1" s="1"/>
  <c r="F82" i="1"/>
  <c r="J82" i="1" s="1"/>
  <c r="G441" i="1"/>
  <c r="G443" i="1" s="1"/>
  <c r="F441" i="1"/>
  <c r="F443" i="1" s="1"/>
  <c r="F86" i="1" s="1"/>
  <c r="F437" i="1"/>
  <c r="F83" i="1" s="1"/>
  <c r="I16" i="15" s="1"/>
  <c r="F16" i="15" s="1"/>
  <c r="G437" i="1"/>
  <c r="G83" i="1" s="1"/>
  <c r="J16" i="15" s="1"/>
  <c r="G44" i="1"/>
  <c r="D45" i="16" s="1"/>
  <c r="F409" i="1"/>
  <c r="G409" i="1"/>
  <c r="G82" i="1" l="1"/>
  <c r="J15" i="15" s="1"/>
  <c r="J18" i="15" s="1"/>
  <c r="G573" i="1"/>
  <c r="I15" i="15"/>
  <c r="F84" i="1"/>
  <c r="I21" i="15"/>
  <c r="E9" i="4"/>
  <c r="G9" i="4" s="1"/>
  <c r="G28" i="4" s="1"/>
  <c r="G29" i="4" s="1"/>
  <c r="G32" i="4" s="1"/>
  <c r="G35" i="4" s="1"/>
  <c r="Q49" i="5" s="1"/>
  <c r="G86" i="1"/>
  <c r="H9" i="4"/>
  <c r="F410" i="1"/>
  <c r="F43" i="1" s="1"/>
  <c r="C44" i="16" s="1"/>
  <c r="G410" i="1"/>
  <c r="G43" i="1" s="1"/>
  <c r="F406" i="1"/>
  <c r="G403" i="1"/>
  <c r="G384" i="1"/>
  <c r="G377" i="1"/>
  <c r="F402" i="1"/>
  <c r="F350" i="1"/>
  <c r="F403" i="1"/>
  <c r="G406" i="1"/>
  <c r="G404" i="1"/>
  <c r="F377" i="1"/>
  <c r="G350" i="1"/>
  <c r="G84" i="1" l="1"/>
  <c r="F15" i="15"/>
  <c r="F18" i="15" s="1"/>
  <c r="I18" i="15"/>
  <c r="B25" i="14"/>
  <c r="C24" i="17" s="1"/>
  <c r="F40" i="14"/>
  <c r="F25" i="14"/>
  <c r="H25" i="14" s="1"/>
  <c r="D44" i="16"/>
  <c r="F26" i="14"/>
  <c r="H26" i="14" s="1"/>
  <c r="F21" i="15"/>
  <c r="G93" i="1"/>
  <c r="J21" i="15"/>
  <c r="J29" i="15" s="1"/>
  <c r="J31" i="15" s="1"/>
  <c r="J34" i="15" s="1"/>
  <c r="J40" i="15" s="1"/>
  <c r="B26" i="14"/>
  <c r="C25" i="17" s="1"/>
  <c r="B50" i="14"/>
  <c r="C45" i="17" s="1"/>
  <c r="F380" i="1"/>
  <c r="F40" i="1" s="1"/>
  <c r="C41" i="16" s="1"/>
  <c r="G380" i="1"/>
  <c r="G40" i="1" s="1"/>
  <c r="J9" i="4"/>
  <c r="H28" i="4"/>
  <c r="H29" i="4" s="1"/>
  <c r="H32" i="4" s="1"/>
  <c r="H35" i="4" s="1"/>
  <c r="F446" i="1"/>
  <c r="P49" i="5"/>
  <c r="Q53" i="5"/>
  <c r="F407" i="1"/>
  <c r="F42" i="1" s="1"/>
  <c r="C43" i="16" s="1"/>
  <c r="G407" i="1"/>
  <c r="G42" i="1" s="1"/>
  <c r="D43" i="16" s="1"/>
  <c r="F385" i="1"/>
  <c r="F41" i="1" s="1"/>
  <c r="C42" i="16" s="1"/>
  <c r="G385" i="1"/>
  <c r="G41" i="1" s="1"/>
  <c r="G351" i="1"/>
  <c r="I46" i="10"/>
  <c r="I47" i="10" s="1"/>
  <c r="J45" i="10"/>
  <c r="C44" i="10"/>
  <c r="C43" i="10"/>
  <c r="C42" i="10"/>
  <c r="D42" i="10" s="1"/>
  <c r="C38" i="10"/>
  <c r="C37" i="10"/>
  <c r="C36" i="10"/>
  <c r="I35" i="10"/>
  <c r="C35" i="10"/>
  <c r="C34" i="10"/>
  <c r="D34" i="10" s="1"/>
  <c r="I33" i="10"/>
  <c r="J33" i="10" s="1"/>
  <c r="J34" i="10" s="1"/>
  <c r="L34" i="10" s="1"/>
  <c r="K32" i="10"/>
  <c r="L29" i="10"/>
  <c r="C29" i="10"/>
  <c r="C28" i="10"/>
  <c r="J27" i="10"/>
  <c r="L27" i="10" s="1"/>
  <c r="J28" i="10" s="1"/>
  <c r="L28" i="10" s="1"/>
  <c r="C27" i="10"/>
  <c r="K26" i="10"/>
  <c r="C26" i="10"/>
  <c r="D26" i="10" s="1"/>
  <c r="K25" i="10"/>
  <c r="C21" i="10"/>
  <c r="C20" i="10"/>
  <c r="I19" i="10"/>
  <c r="J19" i="10" s="1"/>
  <c r="C19" i="10"/>
  <c r="C18" i="10"/>
  <c r="D18" i="10" s="1"/>
  <c r="J12" i="10"/>
  <c r="D11" i="10"/>
  <c r="C8" i="10"/>
  <c r="C7" i="10"/>
  <c r="C6" i="10"/>
  <c r="C5" i="10"/>
  <c r="G94" i="1" l="1"/>
  <c r="G97" i="1" s="1"/>
  <c r="C8" i="14" s="1"/>
  <c r="J54" i="15"/>
  <c r="J53" i="15"/>
  <c r="G34" i="1"/>
  <c r="D35" i="16" s="1"/>
  <c r="D38" i="16" s="1"/>
  <c r="F49" i="14"/>
  <c r="H49" i="14" s="1"/>
  <c r="D42" i="16"/>
  <c r="F23" i="14"/>
  <c r="H23" i="14" s="1"/>
  <c r="J23" i="14" s="1"/>
  <c r="D41" i="16"/>
  <c r="F48" i="14"/>
  <c r="H48" i="14" s="1"/>
  <c r="C25" i="14"/>
  <c r="D24" i="17" s="1"/>
  <c r="J25" i="14"/>
  <c r="C26" i="14"/>
  <c r="D25" i="17" s="1"/>
  <c r="J26" i="14"/>
  <c r="J48" i="15"/>
  <c r="B23" i="14"/>
  <c r="C22" i="17" s="1"/>
  <c r="B48" i="14"/>
  <c r="C43" i="17" s="1"/>
  <c r="D35" i="10"/>
  <c r="D36" i="10" s="1"/>
  <c r="D37" i="10" s="1"/>
  <c r="D38" i="10" s="1"/>
  <c r="F249" i="1"/>
  <c r="F543" i="1" s="1"/>
  <c r="F447" i="1"/>
  <c r="F88" i="1" s="1"/>
  <c r="D19" i="10"/>
  <c r="D20" i="10" s="1"/>
  <c r="D27" i="10"/>
  <c r="D28" i="10" s="1"/>
  <c r="D29" i="10" s="1"/>
  <c r="J46" i="10"/>
  <c r="J35" i="10"/>
  <c r="D43" i="10"/>
  <c r="F43" i="10" s="1"/>
  <c r="G45" i="1"/>
  <c r="J20" i="10"/>
  <c r="L19" i="10"/>
  <c r="F19" i="10"/>
  <c r="L33" i="10"/>
  <c r="G103" i="1" l="1"/>
  <c r="G189" i="1" s="1"/>
  <c r="G191" i="1" s="1"/>
  <c r="G197" i="1" s="1"/>
  <c r="G198" i="1" s="1"/>
  <c r="G30" i="1" s="1"/>
  <c r="G37" i="1"/>
  <c r="D46" i="16"/>
  <c r="J48" i="14"/>
  <c r="C48" i="14"/>
  <c r="F93" i="1"/>
  <c r="F94" i="1" s="1"/>
  <c r="F97" i="1" s="1"/>
  <c r="I23" i="15"/>
  <c r="C15" i="14"/>
  <c r="D9" i="17"/>
  <c r="D15" i="17" s="1"/>
  <c r="F28" i="10"/>
  <c r="F37" i="10"/>
  <c r="J21" i="10"/>
  <c r="L20" i="10"/>
  <c r="D44" i="10"/>
  <c r="D45" i="10" s="1"/>
  <c r="D21" i="10"/>
  <c r="F20" i="10"/>
  <c r="F29" i="10"/>
  <c r="D30" i="10" s="1"/>
  <c r="F30" i="10" s="1"/>
  <c r="F38" i="10"/>
  <c r="D39" i="10" s="1"/>
  <c r="F39" i="10" s="1"/>
  <c r="G525" i="1" l="1"/>
  <c r="G527" i="1" s="1"/>
  <c r="G115" i="1" s="1"/>
  <c r="G113" i="1"/>
  <c r="D43" i="17"/>
  <c r="D47" i="17" s="1"/>
  <c r="C52" i="14"/>
  <c r="B8" i="14"/>
  <c r="B15" i="14" s="1"/>
  <c r="J68" i="6"/>
  <c r="J70" i="6" s="1"/>
  <c r="J72" i="6" s="1"/>
  <c r="J144" i="6" s="1"/>
  <c r="J145" i="6" s="1"/>
  <c r="J146" i="6" s="1"/>
  <c r="J147" i="6" s="1"/>
  <c r="J21" i="6"/>
  <c r="J37" i="6" s="1"/>
  <c r="J51" i="6" s="1"/>
  <c r="J55" i="6" s="1"/>
  <c r="J59" i="6" s="1"/>
  <c r="J62" i="6" s="1"/>
  <c r="I144" i="6" s="1"/>
  <c r="I145" i="6" s="1"/>
  <c r="I146" i="6" s="1"/>
  <c r="I147" i="6" s="1"/>
  <c r="L21" i="6"/>
  <c r="L37" i="6" s="1"/>
  <c r="L51" i="6" s="1"/>
  <c r="L55" i="6" s="1"/>
  <c r="L59" i="6" s="1"/>
  <c r="F23" i="15"/>
  <c r="F29" i="15" s="1"/>
  <c r="F31" i="15" s="1"/>
  <c r="F34" i="15" s="1"/>
  <c r="I29" i="15"/>
  <c r="I31" i="15" s="1"/>
  <c r="I34" i="15" s="1"/>
  <c r="G31" i="1"/>
  <c r="G46" i="1" s="1"/>
  <c r="D31" i="16"/>
  <c r="D32" i="16" s="1"/>
  <c r="D47" i="16" s="1"/>
  <c r="F186" i="1"/>
  <c r="F188" i="1" s="1"/>
  <c r="F21" i="10"/>
  <c r="D22" i="10"/>
  <c r="D23" i="10" s="1"/>
  <c r="F45" i="10"/>
  <c r="D46" i="10"/>
  <c r="D47" i="10" s="1"/>
  <c r="F44" i="10"/>
  <c r="F294" i="1"/>
  <c r="F22" i="1" s="1"/>
  <c r="C24" i="16" s="1"/>
  <c r="G286" i="1"/>
  <c r="F286" i="1"/>
  <c r="G289" i="1"/>
  <c r="F289" i="1"/>
  <c r="G528" i="1" l="1"/>
  <c r="G116" i="1" s="1"/>
  <c r="C9" i="17"/>
  <c r="C15" i="17" s="1"/>
  <c r="L62" i="6"/>
  <c r="L74" i="6" s="1"/>
  <c r="D101" i="6"/>
  <c r="D103" i="6" s="1"/>
  <c r="D104" i="6" s="1"/>
  <c r="D105" i="6" s="1"/>
  <c r="D108" i="6"/>
  <c r="D110" i="6" s="1"/>
  <c r="D111" i="6" s="1"/>
  <c r="D112" i="6" s="1"/>
  <c r="J74" i="6"/>
  <c r="K147" i="6"/>
  <c r="K95" i="6" s="1"/>
  <c r="K97" i="6" s="1"/>
  <c r="G294" i="1"/>
  <c r="F351" i="1"/>
  <c r="F291" i="1"/>
  <c r="F21" i="1" s="1"/>
  <c r="C23" i="16" s="1"/>
  <c r="G291" i="1"/>
  <c r="F274" i="1"/>
  <c r="G270" i="1"/>
  <c r="G279" i="1"/>
  <c r="F268" i="1"/>
  <c r="G268" i="1"/>
  <c r="F279" i="1"/>
  <c r="F270" i="1"/>
  <c r="G274" i="1"/>
  <c r="F284" i="1" l="1"/>
  <c r="F20" i="1" s="1"/>
  <c r="C22" i="16" s="1"/>
  <c r="G284" i="1"/>
  <c r="G20" i="1" s="1"/>
  <c r="G22" i="1"/>
  <c r="P40" i="14" s="1"/>
  <c r="J76" i="6"/>
  <c r="J77" i="6" s="1"/>
  <c r="J78" i="6" s="1"/>
  <c r="J79" i="6" s="1"/>
  <c r="F99" i="1" s="1"/>
  <c r="N74" i="6"/>
  <c r="D114" i="6"/>
  <c r="L76" i="6"/>
  <c r="L77" i="6" s="1"/>
  <c r="G21" i="1"/>
  <c r="F21" i="14"/>
  <c r="H21" i="14" s="1"/>
  <c r="F34" i="1"/>
  <c r="B49" i="14"/>
  <c r="D115" i="6"/>
  <c r="J84" i="6" s="1"/>
  <c r="L95" i="6"/>
  <c r="L97" i="6" s="1"/>
  <c r="F258" i="1"/>
  <c r="F271" i="1"/>
  <c r="F18" i="1" s="1"/>
  <c r="C20" i="16" s="1"/>
  <c r="G271" i="1"/>
  <c r="G18" i="1" s="1"/>
  <c r="D20" i="16" s="1"/>
  <c r="G276" i="1"/>
  <c r="G19" i="1" s="1"/>
  <c r="F22" i="14" s="1"/>
  <c r="H22" i="14" s="1"/>
  <c r="F276" i="1"/>
  <c r="F19" i="1" s="1"/>
  <c r="C21" i="16" s="1"/>
  <c r="F412" i="1"/>
  <c r="D24" i="16" l="1"/>
  <c r="B33" i="14"/>
  <c r="P38" i="14"/>
  <c r="P29" i="14"/>
  <c r="D23" i="16"/>
  <c r="B21" i="14"/>
  <c r="C20" i="17" s="1"/>
  <c r="I37" i="15"/>
  <c r="F37" i="15" s="1"/>
  <c r="L78" i="6"/>
  <c r="L79" i="6" s="1"/>
  <c r="L85" i="6" s="1"/>
  <c r="L87" i="6" s="1"/>
  <c r="L89" i="6" s="1"/>
  <c r="J85" i="6"/>
  <c r="J87" i="6" s="1"/>
  <c r="J89" i="6" s="1"/>
  <c r="J22" i="14"/>
  <c r="C22" i="14"/>
  <c r="D21" i="17" s="1"/>
  <c r="D22" i="16"/>
  <c r="F20" i="14"/>
  <c r="H20" i="14" s="1"/>
  <c r="C21" i="14"/>
  <c r="J21" i="14"/>
  <c r="B22" i="14"/>
  <c r="C21" i="17" s="1"/>
  <c r="D21" i="16"/>
  <c r="B52" i="14"/>
  <c r="C44" i="17"/>
  <c r="C47" i="17" s="1"/>
  <c r="C35" i="16"/>
  <c r="B20" i="14"/>
  <c r="C19" i="17" s="1"/>
  <c r="F265" i="1"/>
  <c r="F17" i="1"/>
  <c r="C19" i="16" s="1"/>
  <c r="G251" i="1"/>
  <c r="G15" i="1" s="1"/>
  <c r="F251" i="1"/>
  <c r="F15" i="1" s="1"/>
  <c r="C17" i="16" s="1"/>
  <c r="G242" i="1"/>
  <c r="G241" i="1"/>
  <c r="G235" i="1"/>
  <c r="G257" i="1"/>
  <c r="F242" i="1"/>
  <c r="F241" i="1"/>
  <c r="F243" i="1"/>
  <c r="P35" i="14" l="1"/>
  <c r="S35" i="14" s="1"/>
  <c r="P31" i="14"/>
  <c r="F415" i="1"/>
  <c r="C31" i="17"/>
  <c r="D17" i="16"/>
  <c r="F18" i="14"/>
  <c r="H18" i="14" s="1"/>
  <c r="F29" i="14"/>
  <c r="H29" i="14" s="1"/>
  <c r="F39" i="14"/>
  <c r="J20" i="14"/>
  <c r="C20" i="14"/>
  <c r="D19" i="17" s="1"/>
  <c r="D20" i="17"/>
  <c r="C25" i="16"/>
  <c r="B29" i="14"/>
  <c r="C28" i="17" s="1"/>
  <c r="B18" i="14"/>
  <c r="C17" i="17" s="1"/>
  <c r="B40" i="9"/>
  <c r="F23" i="1"/>
  <c r="G258" i="1"/>
  <c r="F244" i="1"/>
  <c r="F12" i="1" s="1"/>
  <c r="C14" i="16" s="1"/>
  <c r="G244" i="1"/>
  <c r="G12" i="1" s="1"/>
  <c r="D14" i="16" s="1"/>
  <c r="G237" i="1"/>
  <c r="G11" i="1" s="1"/>
  <c r="F235" i="1"/>
  <c r="F44" i="1" l="1"/>
  <c r="F45" i="1" s="1"/>
  <c r="C26" i="17"/>
  <c r="J18" i="14"/>
  <c r="C18" i="14"/>
  <c r="D17" i="17" s="1"/>
  <c r="D13" i="16"/>
  <c r="F28" i="14"/>
  <c r="H28" i="14" s="1"/>
  <c r="J29" i="14"/>
  <c r="C29" i="14"/>
  <c r="D28" i="17" s="1"/>
  <c r="G265" i="1"/>
  <c r="G17" i="1"/>
  <c r="F237" i="1"/>
  <c r="F11" i="1" s="1"/>
  <c r="C45" i="16" l="1"/>
  <c r="C46" i="16" s="1"/>
  <c r="D19" i="16"/>
  <c r="D25" i="16" s="1"/>
  <c r="F19" i="14"/>
  <c r="H19" i="14" s="1"/>
  <c r="J28" i="14"/>
  <c r="C28" i="14"/>
  <c r="D27" i="17" s="1"/>
  <c r="C13" i="16"/>
  <c r="B28" i="14"/>
  <c r="C27" i="17" s="1"/>
  <c r="G23" i="1"/>
  <c r="B19" i="14"/>
  <c r="C18" i="17" s="1"/>
  <c r="E24" i="12"/>
  <c r="G24" i="12" s="1"/>
  <c r="F24" i="12"/>
  <c r="H24" i="12" s="1"/>
  <c r="M18" i="11"/>
  <c r="P18" i="11"/>
  <c r="E27" i="12"/>
  <c r="G27" i="12" s="1"/>
  <c r="F27" i="12"/>
  <c r="H27" i="12" s="1"/>
  <c r="M24" i="11"/>
  <c r="P24" i="11"/>
  <c r="E33" i="12"/>
  <c r="G33" i="12" s="1"/>
  <c r="F33" i="12"/>
  <c r="H33" i="12" s="1"/>
  <c r="M35" i="11"/>
  <c r="P35" i="11"/>
  <c r="E66" i="12"/>
  <c r="G66" i="12" s="1"/>
  <c r="F66" i="12"/>
  <c r="H66" i="12" s="1"/>
  <c r="M80" i="11"/>
  <c r="P80" i="11"/>
  <c r="F78" i="12"/>
  <c r="H78" i="12" s="1"/>
  <c r="M93" i="11"/>
  <c r="P93" i="11"/>
  <c r="E79" i="12"/>
  <c r="G79" i="12" s="1"/>
  <c r="F79" i="12"/>
  <c r="H79" i="12" s="1"/>
  <c r="M95" i="11"/>
  <c r="P95" i="11"/>
  <c r="E97" i="12"/>
  <c r="G97" i="12" s="1"/>
  <c r="F97" i="12"/>
  <c r="H97" i="12" s="1"/>
  <c r="M117" i="11"/>
  <c r="P117" i="11"/>
  <c r="F101" i="12"/>
  <c r="H101" i="12" s="1"/>
  <c r="M124" i="11"/>
  <c r="P124" i="11"/>
  <c r="F125" i="12"/>
  <c r="H125" i="12" s="1"/>
  <c r="M156" i="11"/>
  <c r="P156" i="11"/>
  <c r="F137" i="12"/>
  <c r="H137" i="12" s="1"/>
  <c r="M171" i="11"/>
  <c r="P171" i="11"/>
  <c r="F141" i="12"/>
  <c r="H141" i="12" s="1"/>
  <c r="M175" i="11"/>
  <c r="P175" i="11"/>
  <c r="F156" i="12"/>
  <c r="H156" i="12" s="1"/>
  <c r="M198" i="11"/>
  <c r="P198" i="11"/>
  <c r="F169" i="12"/>
  <c r="H169" i="12" s="1"/>
  <c r="M210" i="11"/>
  <c r="P210" i="11"/>
  <c r="F182" i="12"/>
  <c r="H182" i="12" s="1"/>
  <c r="M225" i="11"/>
  <c r="P225" i="11"/>
  <c r="F186" i="12"/>
  <c r="H186" i="12" s="1"/>
  <c r="M229" i="11"/>
  <c r="P229" i="11"/>
  <c r="F220" i="12"/>
  <c r="H220" i="12" s="1"/>
  <c r="M270" i="11"/>
  <c r="P270" i="11"/>
  <c r="F222" i="12"/>
  <c r="H222" i="12" s="1"/>
  <c r="M274" i="11"/>
  <c r="P274" i="11"/>
  <c r="F226" i="12"/>
  <c r="H226" i="12" s="1"/>
  <c r="M280" i="11"/>
  <c r="P280" i="11"/>
  <c r="F253" i="12"/>
  <c r="H253" i="12" s="1"/>
  <c r="M314" i="11"/>
  <c r="P314" i="11"/>
  <c r="F301" i="12"/>
  <c r="H301" i="12" s="1"/>
  <c r="M373" i="11"/>
  <c r="P373" i="11"/>
  <c r="N543" i="11"/>
  <c r="K543" i="11"/>
  <c r="I542" i="11"/>
  <c r="F542" i="11"/>
  <c r="P541" i="11"/>
  <c r="M541" i="11"/>
  <c r="P534" i="11"/>
  <c r="M534" i="11"/>
  <c r="P540" i="11"/>
  <c r="M540" i="11"/>
  <c r="P539" i="11"/>
  <c r="M539" i="11"/>
  <c r="P537" i="11"/>
  <c r="M537" i="11"/>
  <c r="P536" i="11"/>
  <c r="M536" i="11"/>
  <c r="P533" i="11"/>
  <c r="M533" i="11"/>
  <c r="F413" i="12"/>
  <c r="H413" i="12" s="1"/>
  <c r="P532" i="11"/>
  <c r="M532" i="11"/>
  <c r="F412" i="12"/>
  <c r="H412" i="12" s="1"/>
  <c r="P531" i="11"/>
  <c r="M531" i="11"/>
  <c r="F411" i="12"/>
  <c r="H411" i="12" s="1"/>
  <c r="P530" i="11"/>
  <c r="M530" i="11"/>
  <c r="F410" i="12"/>
  <c r="H410" i="12" s="1"/>
  <c r="P529" i="11"/>
  <c r="M529" i="11"/>
  <c r="F409" i="12"/>
  <c r="H409" i="12" s="1"/>
  <c r="P528" i="11"/>
  <c r="M528" i="11"/>
  <c r="P527" i="11"/>
  <c r="M527" i="11"/>
  <c r="F408" i="12"/>
  <c r="H408" i="12" s="1"/>
  <c r="P526" i="11"/>
  <c r="M526" i="11"/>
  <c r="P525" i="11"/>
  <c r="M525" i="11"/>
  <c r="P524" i="11"/>
  <c r="M524" i="11"/>
  <c r="P522" i="11"/>
  <c r="M522" i="11"/>
  <c r="F406" i="12"/>
  <c r="H406" i="12" s="1"/>
  <c r="P521" i="11"/>
  <c r="M521" i="11"/>
  <c r="F405" i="12"/>
  <c r="H405" i="12" s="1"/>
  <c r="P519" i="11"/>
  <c r="F403" i="12"/>
  <c r="H403" i="12" s="1"/>
  <c r="P518" i="11"/>
  <c r="M518" i="11"/>
  <c r="F402" i="12"/>
  <c r="H402" i="12" s="1"/>
  <c r="P517" i="11"/>
  <c r="M517" i="11"/>
  <c r="F401" i="12"/>
  <c r="H401" i="12" s="1"/>
  <c r="P516" i="11"/>
  <c r="M516" i="11"/>
  <c r="P515" i="11"/>
  <c r="P514" i="11"/>
  <c r="P510" i="11"/>
  <c r="M510" i="11"/>
  <c r="P513" i="11"/>
  <c r="M513" i="11"/>
  <c r="P169" i="11"/>
  <c r="M169" i="11"/>
  <c r="F135" i="12"/>
  <c r="H135" i="12" s="1"/>
  <c r="P511" i="11"/>
  <c r="M511" i="11"/>
  <c r="P506" i="11"/>
  <c r="M506" i="11"/>
  <c r="P505" i="11"/>
  <c r="M505" i="11"/>
  <c r="F397" i="12"/>
  <c r="H397" i="12" s="1"/>
  <c r="P504" i="11"/>
  <c r="F396" i="12"/>
  <c r="H396" i="12" s="1"/>
  <c r="P502" i="11"/>
  <c r="M502" i="11"/>
  <c r="F393" i="12"/>
  <c r="H393" i="12" s="1"/>
  <c r="P500" i="11"/>
  <c r="M500" i="11"/>
  <c r="F394" i="12"/>
  <c r="H394" i="12" s="1"/>
  <c r="P498" i="11"/>
  <c r="M498" i="11"/>
  <c r="F390" i="12"/>
  <c r="H390" i="12" s="1"/>
  <c r="P497" i="11"/>
  <c r="M497" i="11"/>
  <c r="F389" i="12"/>
  <c r="H389" i="12" s="1"/>
  <c r="P496" i="11"/>
  <c r="M496" i="11"/>
  <c r="F388" i="12"/>
  <c r="H388" i="12" s="1"/>
  <c r="P495" i="11"/>
  <c r="M495" i="11"/>
  <c r="F387" i="12"/>
  <c r="H387" i="12" s="1"/>
  <c r="P494" i="11"/>
  <c r="M494" i="11"/>
  <c r="P493" i="11"/>
  <c r="M493" i="11"/>
  <c r="F386" i="12"/>
  <c r="H386" i="12" s="1"/>
  <c r="P492" i="11"/>
  <c r="F385" i="12"/>
  <c r="H385" i="12" s="1"/>
  <c r="P491" i="11"/>
  <c r="M491" i="11"/>
  <c r="F384" i="12"/>
  <c r="H384" i="12" s="1"/>
  <c r="P490" i="11"/>
  <c r="M490" i="11"/>
  <c r="F381" i="12"/>
  <c r="H381" i="12" s="1"/>
  <c r="P489" i="11"/>
  <c r="M489" i="11"/>
  <c r="F383" i="12"/>
  <c r="H383" i="12" s="1"/>
  <c r="P488" i="11"/>
  <c r="M488" i="11"/>
  <c r="F382" i="12"/>
  <c r="H382" i="12" s="1"/>
  <c r="P487" i="11"/>
  <c r="M487" i="11"/>
  <c r="F378" i="12"/>
  <c r="H378" i="12" s="1"/>
  <c r="P486" i="11"/>
  <c r="M486" i="11"/>
  <c r="F377" i="12"/>
  <c r="H377" i="12" s="1"/>
  <c r="P485" i="11"/>
  <c r="M485" i="11"/>
  <c r="F376" i="12"/>
  <c r="H376" i="12" s="1"/>
  <c r="P484" i="11"/>
  <c r="F375" i="12"/>
  <c r="H375" i="12" s="1"/>
  <c r="P483" i="11"/>
  <c r="M483" i="11"/>
  <c r="F379" i="12"/>
  <c r="H379" i="12" s="1"/>
  <c r="P482" i="11"/>
  <c r="M482" i="11"/>
  <c r="P478" i="11"/>
  <c r="M478" i="11"/>
  <c r="F380" i="12"/>
  <c r="H380" i="12" s="1"/>
  <c r="P477" i="11"/>
  <c r="M477" i="11"/>
  <c r="P476" i="11"/>
  <c r="M476" i="11"/>
  <c r="F371" i="12"/>
  <c r="H371" i="12" s="1"/>
  <c r="P475" i="11"/>
  <c r="M475" i="11"/>
  <c r="P474" i="11"/>
  <c r="M474" i="11"/>
  <c r="P472" i="11"/>
  <c r="F369" i="12"/>
  <c r="H369" i="12" s="1"/>
  <c r="P471" i="11"/>
  <c r="M471" i="11"/>
  <c r="F368" i="12"/>
  <c r="H368" i="12" s="1"/>
  <c r="P469" i="11"/>
  <c r="M469" i="11"/>
  <c r="F366" i="12"/>
  <c r="H366" i="12" s="1"/>
  <c r="P468" i="11"/>
  <c r="F365" i="12"/>
  <c r="H365" i="12" s="1"/>
  <c r="P467" i="11"/>
  <c r="M467" i="11"/>
  <c r="P466" i="11"/>
  <c r="M466" i="11"/>
  <c r="F364" i="12"/>
  <c r="H364" i="12" s="1"/>
  <c r="P465" i="11"/>
  <c r="M465" i="11"/>
  <c r="F363" i="12"/>
  <c r="H363" i="12" s="1"/>
  <c r="P464" i="11"/>
  <c r="M464" i="11"/>
  <c r="P463" i="11"/>
  <c r="F362" i="12"/>
  <c r="H362" i="12" s="1"/>
  <c r="P462" i="11"/>
  <c r="M462" i="11"/>
  <c r="F361" i="12"/>
  <c r="H361" i="12" s="1"/>
  <c r="P461" i="11"/>
  <c r="M461" i="11"/>
  <c r="F360" i="12"/>
  <c r="H360" i="12" s="1"/>
  <c r="P460" i="11"/>
  <c r="M460" i="11"/>
  <c r="F359" i="12"/>
  <c r="H359" i="12" s="1"/>
  <c r="P459" i="11"/>
  <c r="M459" i="11"/>
  <c r="P458" i="11"/>
  <c r="M458" i="11"/>
  <c r="F358" i="12"/>
  <c r="H358" i="12" s="1"/>
  <c r="P457" i="11"/>
  <c r="P455" i="11"/>
  <c r="M455" i="11"/>
  <c r="F356" i="12"/>
  <c r="H356" i="12" s="1"/>
  <c r="P454" i="11"/>
  <c r="M454" i="11"/>
  <c r="F355" i="12"/>
  <c r="H355" i="12" s="1"/>
  <c r="P452" i="11"/>
  <c r="F353" i="12"/>
  <c r="H353" i="12" s="1"/>
  <c r="P451" i="11"/>
  <c r="M451" i="11"/>
  <c r="P450" i="11"/>
  <c r="M450" i="11"/>
  <c r="P449" i="11"/>
  <c r="M448" i="11"/>
  <c r="F352" i="12"/>
  <c r="H352" i="12" s="1"/>
  <c r="P445" i="11"/>
  <c r="F349" i="12"/>
  <c r="H349" i="12" s="1"/>
  <c r="P444" i="11"/>
  <c r="F348" i="12"/>
  <c r="H348" i="12" s="1"/>
  <c r="P443" i="11"/>
  <c r="M443" i="11"/>
  <c r="F347" i="12"/>
  <c r="H347" i="12" s="1"/>
  <c r="P442" i="11"/>
  <c r="M442" i="11"/>
  <c r="F346" i="12"/>
  <c r="H346" i="12" s="1"/>
  <c r="P441" i="11"/>
  <c r="M441" i="11"/>
  <c r="P439" i="11"/>
  <c r="M439" i="11"/>
  <c r="P438" i="11"/>
  <c r="M438" i="11"/>
  <c r="P437" i="11"/>
  <c r="M437" i="11"/>
  <c r="F344" i="12"/>
  <c r="H344" i="12" s="1"/>
  <c r="P436" i="11"/>
  <c r="M436" i="11"/>
  <c r="P435" i="11"/>
  <c r="M435" i="11"/>
  <c r="P434" i="11"/>
  <c r="M434" i="11"/>
  <c r="P433" i="11"/>
  <c r="M433" i="11"/>
  <c r="P431" i="11"/>
  <c r="M431" i="11"/>
  <c r="P429" i="11"/>
  <c r="M429" i="11"/>
  <c r="F340" i="12"/>
  <c r="H340" i="12" s="1"/>
  <c r="P428" i="11"/>
  <c r="M428" i="11"/>
  <c r="F339" i="12"/>
  <c r="H339" i="12" s="1"/>
  <c r="P427" i="11"/>
  <c r="M427" i="11"/>
  <c r="F338" i="12"/>
  <c r="H338" i="12" s="1"/>
  <c r="P420" i="11"/>
  <c r="M420" i="11"/>
  <c r="F327" i="12"/>
  <c r="H327" i="12" s="1"/>
  <c r="P426" i="11"/>
  <c r="M426" i="11"/>
  <c r="P425" i="11"/>
  <c r="M425" i="11"/>
  <c r="F332" i="12"/>
  <c r="H332" i="12" s="1"/>
  <c r="P424" i="11"/>
  <c r="M424" i="11"/>
  <c r="F331" i="12"/>
  <c r="H331" i="12" s="1"/>
  <c r="P423" i="11"/>
  <c r="P421" i="11"/>
  <c r="M421" i="11"/>
  <c r="F329" i="12"/>
  <c r="H329" i="12" s="1"/>
  <c r="P419" i="11"/>
  <c r="M419" i="11"/>
  <c r="F326" i="12"/>
  <c r="H326" i="12" s="1"/>
  <c r="P418" i="11"/>
  <c r="M418" i="11"/>
  <c r="F325" i="12"/>
  <c r="H325" i="12" s="1"/>
  <c r="P417" i="11"/>
  <c r="M417" i="11"/>
  <c r="F324" i="12"/>
  <c r="H324" i="12" s="1"/>
  <c r="P416" i="11"/>
  <c r="M416" i="11"/>
  <c r="F328" i="12"/>
  <c r="H328" i="12" s="1"/>
  <c r="P415" i="11"/>
  <c r="F323" i="12"/>
  <c r="H323" i="12" s="1"/>
  <c r="P414" i="11"/>
  <c r="F322" i="12"/>
  <c r="H322" i="12" s="1"/>
  <c r="P412" i="11"/>
  <c r="M412" i="11"/>
  <c r="F320" i="12"/>
  <c r="H320" i="12" s="1"/>
  <c r="P413" i="11"/>
  <c r="M413" i="11"/>
  <c r="F321" i="12"/>
  <c r="H321" i="12" s="1"/>
  <c r="P122" i="11"/>
  <c r="M122" i="11"/>
  <c r="P411" i="11"/>
  <c r="M411" i="11"/>
  <c r="F319" i="12"/>
  <c r="H319" i="12" s="1"/>
  <c r="P410" i="11"/>
  <c r="M410" i="11"/>
  <c r="F318" i="12"/>
  <c r="H318" i="12" s="1"/>
  <c r="P409" i="11"/>
  <c r="M409" i="11"/>
  <c r="P408" i="11"/>
  <c r="M408" i="11"/>
  <c r="F317" i="12"/>
  <c r="H317" i="12" s="1"/>
  <c r="P407" i="11"/>
  <c r="M407" i="11"/>
  <c r="P406" i="11"/>
  <c r="M406" i="11"/>
  <c r="P405" i="11"/>
  <c r="M405" i="11"/>
  <c r="F337" i="12"/>
  <c r="H337" i="12" s="1"/>
  <c r="P404" i="11"/>
  <c r="F336" i="12"/>
  <c r="H336" i="12" s="1"/>
  <c r="P403" i="11"/>
  <c r="M403" i="11"/>
  <c r="F335" i="12"/>
  <c r="H335" i="12" s="1"/>
  <c r="P402" i="11"/>
  <c r="M402" i="11"/>
  <c r="F334" i="12"/>
  <c r="H334" i="12" s="1"/>
  <c r="P401" i="11"/>
  <c r="M401" i="11"/>
  <c r="F333" i="12"/>
  <c r="H333" i="12" s="1"/>
  <c r="P400" i="11"/>
  <c r="M400" i="11"/>
  <c r="P399" i="11"/>
  <c r="M399" i="11"/>
  <c r="F314" i="12"/>
  <c r="H314" i="12" s="1"/>
  <c r="P398" i="11"/>
  <c r="F313" i="12"/>
  <c r="H313" i="12" s="1"/>
  <c r="P397" i="11"/>
  <c r="M397" i="11"/>
  <c r="F312" i="12"/>
  <c r="H312" i="12" s="1"/>
  <c r="P396" i="11"/>
  <c r="M396" i="11"/>
  <c r="F311" i="12"/>
  <c r="H311" i="12" s="1"/>
  <c r="P395" i="11"/>
  <c r="M395" i="11"/>
  <c r="F309" i="12"/>
  <c r="H309" i="12" s="1"/>
  <c r="P394" i="11"/>
  <c r="M394" i="11"/>
  <c r="F310" i="12"/>
  <c r="H310" i="12" s="1"/>
  <c r="P393" i="11"/>
  <c r="M393" i="11"/>
  <c r="F308" i="12"/>
  <c r="H308" i="12" s="1"/>
  <c r="P392" i="11"/>
  <c r="M392" i="11"/>
  <c r="F307" i="12"/>
  <c r="H307" i="12" s="1"/>
  <c r="P387" i="11"/>
  <c r="M387" i="11"/>
  <c r="F305" i="12"/>
  <c r="H305" i="12" s="1"/>
  <c r="P385" i="11"/>
  <c r="M385" i="11"/>
  <c r="F303" i="12"/>
  <c r="H303" i="12" s="1"/>
  <c r="P384" i="11"/>
  <c r="M384" i="11"/>
  <c r="F302" i="12"/>
  <c r="H302" i="12" s="1"/>
  <c r="P383" i="11"/>
  <c r="M383" i="11"/>
  <c r="F300" i="12"/>
  <c r="H300" i="12" s="1"/>
  <c r="P382" i="11"/>
  <c r="M382" i="11"/>
  <c r="F299" i="12"/>
  <c r="H299" i="12" s="1"/>
  <c r="P381" i="11"/>
  <c r="M381" i="11"/>
  <c r="P380" i="11"/>
  <c r="M380" i="11"/>
  <c r="F298" i="12"/>
  <c r="H298" i="12" s="1"/>
  <c r="P379" i="11"/>
  <c r="P378" i="11"/>
  <c r="M378" i="11"/>
  <c r="P377" i="11"/>
  <c r="M377" i="11"/>
  <c r="F296" i="12"/>
  <c r="H296" i="12" s="1"/>
  <c r="P376" i="11"/>
  <c r="M376" i="11"/>
  <c r="P375" i="11"/>
  <c r="M375" i="11"/>
  <c r="F295" i="12"/>
  <c r="H295" i="12" s="1"/>
  <c r="P372" i="11"/>
  <c r="M372" i="11"/>
  <c r="F297" i="12"/>
  <c r="H297" i="12" s="1"/>
  <c r="P374" i="11"/>
  <c r="M374" i="11"/>
  <c r="F315" i="12"/>
  <c r="H315" i="12" s="1"/>
  <c r="P188" i="11"/>
  <c r="M188" i="11"/>
  <c r="F150" i="12"/>
  <c r="H150" i="12" s="1"/>
  <c r="P371" i="11"/>
  <c r="P369" i="11"/>
  <c r="F294" i="12"/>
  <c r="H294" i="12" s="1"/>
  <c r="P368" i="11"/>
  <c r="M368" i="11"/>
  <c r="F293" i="12"/>
  <c r="H293" i="12" s="1"/>
  <c r="P367" i="11"/>
  <c r="M367" i="11"/>
  <c r="F292" i="12"/>
  <c r="H292" i="12" s="1"/>
  <c r="P366" i="11"/>
  <c r="M366" i="11"/>
  <c r="P365" i="11"/>
  <c r="M365" i="11"/>
  <c r="F291" i="12"/>
  <c r="H291" i="12" s="1"/>
  <c r="P364" i="11"/>
  <c r="M364" i="11"/>
  <c r="F290" i="12"/>
  <c r="H290" i="12" s="1"/>
  <c r="P363" i="11"/>
  <c r="M363" i="11"/>
  <c r="F289" i="12"/>
  <c r="H289" i="12" s="1"/>
  <c r="P362" i="11"/>
  <c r="M362" i="11"/>
  <c r="F288" i="12"/>
  <c r="H288" i="12" s="1"/>
  <c r="P361" i="11"/>
  <c r="M361" i="11"/>
  <c r="P360" i="11"/>
  <c r="M360" i="11"/>
  <c r="F287" i="12"/>
  <c r="H287" i="12" s="1"/>
  <c r="P359" i="11"/>
  <c r="M359" i="11"/>
  <c r="F286" i="12"/>
  <c r="H286" i="12" s="1"/>
  <c r="P357" i="11"/>
  <c r="M357" i="11"/>
  <c r="F282" i="12"/>
  <c r="H282" i="12" s="1"/>
  <c r="P356" i="11"/>
  <c r="M356" i="11"/>
  <c r="F283" i="12"/>
  <c r="H283" i="12" s="1"/>
  <c r="P355" i="11"/>
  <c r="M355" i="11"/>
  <c r="F281" i="12"/>
  <c r="H281" i="12" s="1"/>
  <c r="P353" i="11"/>
  <c r="F284" i="12"/>
  <c r="H284" i="12" s="1"/>
  <c r="P352" i="11"/>
  <c r="M352" i="11"/>
  <c r="F280" i="12"/>
  <c r="H280" i="12" s="1"/>
  <c r="P351" i="11"/>
  <c r="F279" i="12"/>
  <c r="H279" i="12" s="1"/>
  <c r="P350" i="11"/>
  <c r="F278" i="12"/>
  <c r="H278" i="12" s="1"/>
  <c r="P349" i="11"/>
  <c r="M349" i="11"/>
  <c r="F277" i="12"/>
  <c r="H277" i="12" s="1"/>
  <c r="P348" i="11"/>
  <c r="M348" i="11"/>
  <c r="F276" i="12"/>
  <c r="H276" i="12" s="1"/>
  <c r="P347" i="11"/>
  <c r="M347" i="11"/>
  <c r="F275" i="12"/>
  <c r="H275" i="12" s="1"/>
  <c r="P346" i="11"/>
  <c r="F274" i="12"/>
  <c r="H274" i="12" s="1"/>
  <c r="P345" i="11"/>
  <c r="F273" i="12"/>
  <c r="H273" i="12" s="1"/>
  <c r="P344" i="11"/>
  <c r="M344" i="11"/>
  <c r="F272" i="12"/>
  <c r="H272" i="12" s="1"/>
  <c r="P358" i="11"/>
  <c r="M358" i="11"/>
  <c r="P343" i="11"/>
  <c r="M343" i="11"/>
  <c r="F271" i="12"/>
  <c r="H271" i="12" s="1"/>
  <c r="P342" i="11"/>
  <c r="M342" i="11"/>
  <c r="F270" i="12"/>
  <c r="H270" i="12" s="1"/>
  <c r="P340" i="11"/>
  <c r="M340" i="11"/>
  <c r="F268" i="12"/>
  <c r="H268" i="12" s="1"/>
  <c r="P339" i="11"/>
  <c r="P338" i="11"/>
  <c r="F267" i="12"/>
  <c r="H267" i="12" s="1"/>
  <c r="P337" i="11"/>
  <c r="M337" i="11"/>
  <c r="P335" i="11"/>
  <c r="M335" i="11"/>
  <c r="F265" i="12"/>
  <c r="H265" i="12" s="1"/>
  <c r="P334" i="11"/>
  <c r="F264" i="12"/>
  <c r="H264" i="12" s="1"/>
  <c r="P333" i="11"/>
  <c r="M333" i="11"/>
  <c r="P331" i="11"/>
  <c r="M331" i="11"/>
  <c r="P330" i="11"/>
  <c r="P327" i="11"/>
  <c r="F262" i="12"/>
  <c r="H262" i="12" s="1"/>
  <c r="P326" i="11"/>
  <c r="M326" i="11"/>
  <c r="F261" i="12"/>
  <c r="H261" i="12" s="1"/>
  <c r="P324" i="11"/>
  <c r="F259" i="12"/>
  <c r="H259" i="12" s="1"/>
  <c r="P323" i="11"/>
  <c r="M323" i="11"/>
  <c r="F258" i="12"/>
  <c r="H258" i="12" s="1"/>
  <c r="P322" i="11"/>
  <c r="P321" i="11"/>
  <c r="M321" i="11"/>
  <c r="P320" i="11"/>
  <c r="P319" i="11"/>
  <c r="M319" i="11"/>
  <c r="P318" i="11"/>
  <c r="F257" i="12"/>
  <c r="H257" i="12" s="1"/>
  <c r="P317" i="11"/>
  <c r="M317" i="11"/>
  <c r="F256" i="12"/>
  <c r="H256" i="12" s="1"/>
  <c r="P316" i="11"/>
  <c r="F255" i="12"/>
  <c r="H255" i="12" s="1"/>
  <c r="P315" i="11"/>
  <c r="F254" i="12"/>
  <c r="H254" i="12" s="1"/>
  <c r="P313" i="11"/>
  <c r="M313" i="11"/>
  <c r="F252" i="12"/>
  <c r="H252" i="12" s="1"/>
  <c r="P312" i="11"/>
  <c r="M312" i="11"/>
  <c r="F251" i="12"/>
  <c r="H251" i="12" s="1"/>
  <c r="P90" i="11"/>
  <c r="M90" i="11"/>
  <c r="P432" i="11"/>
  <c r="M432" i="11"/>
  <c r="F343" i="12"/>
  <c r="H343" i="12" s="1"/>
  <c r="P430" i="11"/>
  <c r="M430" i="11"/>
  <c r="P386" i="11"/>
  <c r="M386" i="11"/>
  <c r="F304" i="12"/>
  <c r="H304" i="12" s="1"/>
  <c r="P179" i="11"/>
  <c r="M179" i="11"/>
  <c r="F142" i="12"/>
  <c r="H142" i="12" s="1"/>
  <c r="P64" i="11"/>
  <c r="M64" i="11"/>
  <c r="F54" i="12"/>
  <c r="H54" i="12" s="1"/>
  <c r="P59" i="11"/>
  <c r="M59" i="11"/>
  <c r="P286" i="11"/>
  <c r="M286" i="11"/>
  <c r="F231" i="12"/>
  <c r="H231" i="12" s="1"/>
  <c r="P311" i="11"/>
  <c r="M311" i="11"/>
  <c r="F249" i="12"/>
  <c r="H249" i="12" s="1"/>
  <c r="P310" i="11"/>
  <c r="M310" i="11"/>
  <c r="P308" i="11"/>
  <c r="M308" i="11"/>
  <c r="F247" i="12"/>
  <c r="H247" i="12" s="1"/>
  <c r="P307" i="11"/>
  <c r="M307" i="11"/>
  <c r="P306" i="11"/>
  <c r="M306" i="11"/>
  <c r="P305" i="11"/>
  <c r="M305" i="11"/>
  <c r="F245" i="12"/>
  <c r="H245" i="12" s="1"/>
  <c r="P303" i="11"/>
  <c r="M303" i="11"/>
  <c r="P302" i="11"/>
  <c r="M302" i="11"/>
  <c r="F244" i="12"/>
  <c r="H244" i="12" s="1"/>
  <c r="P300" i="11"/>
  <c r="M300" i="11"/>
  <c r="F242" i="12"/>
  <c r="H242" i="12" s="1"/>
  <c r="P299" i="11"/>
  <c r="M299" i="11"/>
  <c r="F241" i="12"/>
  <c r="H241" i="12" s="1"/>
  <c r="P296" i="11"/>
  <c r="M296" i="11"/>
  <c r="F239" i="12"/>
  <c r="H239" i="12" s="1"/>
  <c r="P295" i="11"/>
  <c r="F238" i="12"/>
  <c r="H238" i="12" s="1"/>
  <c r="P294" i="11"/>
  <c r="M294" i="11"/>
  <c r="F237" i="12"/>
  <c r="H237" i="12" s="1"/>
  <c r="P293" i="11"/>
  <c r="M293" i="11"/>
  <c r="F236" i="12"/>
  <c r="H236" i="12" s="1"/>
  <c r="P292" i="11"/>
  <c r="M292" i="11"/>
  <c r="F235" i="12"/>
  <c r="H235" i="12" s="1"/>
  <c r="P291" i="11"/>
  <c r="M291" i="11"/>
  <c r="F234" i="12"/>
  <c r="H234" i="12" s="1"/>
  <c r="P290" i="11"/>
  <c r="M290" i="11"/>
  <c r="F233" i="12"/>
  <c r="H233" i="12" s="1"/>
  <c r="P289" i="11"/>
  <c r="M289" i="11"/>
  <c r="F232" i="12"/>
  <c r="H232" i="12" s="1"/>
  <c r="P288" i="11"/>
  <c r="M288" i="11"/>
  <c r="P287" i="11"/>
  <c r="M287" i="11"/>
  <c r="P285" i="11"/>
  <c r="M285" i="11"/>
  <c r="F230" i="12"/>
  <c r="H230" i="12" s="1"/>
  <c r="P282" i="11"/>
  <c r="M282" i="11"/>
  <c r="F227" i="12"/>
  <c r="H227" i="12" s="1"/>
  <c r="P281" i="11"/>
  <c r="M281" i="11"/>
  <c r="P278" i="11"/>
  <c r="M278" i="11"/>
  <c r="P277" i="11"/>
  <c r="M277" i="11"/>
  <c r="F224" i="12"/>
  <c r="H224" i="12" s="1"/>
  <c r="P276" i="11"/>
  <c r="M276" i="11"/>
  <c r="F223" i="12"/>
  <c r="H223" i="12" s="1"/>
  <c r="P275" i="11"/>
  <c r="M275" i="11"/>
  <c r="P273" i="11"/>
  <c r="M273" i="11"/>
  <c r="P272" i="11"/>
  <c r="M272" i="11"/>
  <c r="P271" i="11"/>
  <c r="M271" i="11"/>
  <c r="F221" i="12"/>
  <c r="H221" i="12" s="1"/>
  <c r="P269" i="11"/>
  <c r="M269" i="11"/>
  <c r="F219" i="12"/>
  <c r="H219" i="12" s="1"/>
  <c r="P268" i="11"/>
  <c r="M268" i="11"/>
  <c r="F218" i="12"/>
  <c r="H218" i="12" s="1"/>
  <c r="P267" i="11"/>
  <c r="F217" i="12"/>
  <c r="H217" i="12" s="1"/>
  <c r="P266" i="11"/>
  <c r="M266" i="11"/>
  <c r="P265" i="11"/>
  <c r="M265" i="11"/>
  <c r="P264" i="11"/>
  <c r="M264" i="11"/>
  <c r="F216" i="12"/>
  <c r="H216" i="12" s="1"/>
  <c r="P262" i="11"/>
  <c r="M262" i="11"/>
  <c r="F214" i="12"/>
  <c r="H214" i="12" s="1"/>
  <c r="P260" i="11"/>
  <c r="M260" i="11"/>
  <c r="P259" i="11"/>
  <c r="M259" i="11"/>
  <c r="F212" i="12"/>
  <c r="H212" i="12" s="1"/>
  <c r="P258" i="11"/>
  <c r="F211" i="12"/>
  <c r="H211" i="12" s="1"/>
  <c r="P257" i="11"/>
  <c r="M257" i="11"/>
  <c r="F209" i="12"/>
  <c r="H209" i="12" s="1"/>
  <c r="P256" i="11"/>
  <c r="M256" i="11"/>
  <c r="F210" i="12"/>
  <c r="H210" i="12" s="1"/>
  <c r="P255" i="11"/>
  <c r="M255" i="11"/>
  <c r="F208" i="12"/>
  <c r="H208" i="12" s="1"/>
  <c r="P254" i="11"/>
  <c r="M254" i="11"/>
  <c r="F207" i="12"/>
  <c r="H207" i="12" s="1"/>
  <c r="P252" i="11"/>
  <c r="M252" i="11"/>
  <c r="F205" i="12"/>
  <c r="H205" i="12" s="1"/>
  <c r="P251" i="11"/>
  <c r="M251" i="11"/>
  <c r="F203" i="12"/>
  <c r="H203" i="12" s="1"/>
  <c r="P250" i="11"/>
  <c r="M250" i="11"/>
  <c r="F202" i="12"/>
  <c r="H202" i="12" s="1"/>
  <c r="P249" i="11"/>
  <c r="M249" i="11"/>
  <c r="F201" i="12"/>
  <c r="H201" i="12" s="1"/>
  <c r="P248" i="11"/>
  <c r="M248" i="11"/>
  <c r="P247" i="11"/>
  <c r="M247" i="11"/>
  <c r="P246" i="11"/>
  <c r="M246" i="11"/>
  <c r="F200" i="12"/>
  <c r="H200" i="12" s="1"/>
  <c r="P245" i="11"/>
  <c r="M245" i="11"/>
  <c r="F199" i="12"/>
  <c r="H199" i="12" s="1"/>
  <c r="P244" i="11"/>
  <c r="M244" i="11"/>
  <c r="F198" i="12"/>
  <c r="H198" i="12" s="1"/>
  <c r="P54" i="11"/>
  <c r="M54" i="11"/>
  <c r="F49" i="12"/>
  <c r="H49" i="12" s="1"/>
  <c r="P91" i="11"/>
  <c r="M91" i="11"/>
  <c r="F77" i="12"/>
  <c r="H77" i="12" s="1"/>
  <c r="P243" i="11"/>
  <c r="M243" i="11"/>
  <c r="F197" i="12"/>
  <c r="H197" i="12" s="1"/>
  <c r="P242" i="11"/>
  <c r="M242" i="11"/>
  <c r="F204" i="12"/>
  <c r="H204" i="12" s="1"/>
  <c r="P241" i="11"/>
  <c r="M241" i="11"/>
  <c r="P71" i="11"/>
  <c r="M71" i="11"/>
  <c r="F59" i="12"/>
  <c r="H59" i="12" s="1"/>
  <c r="P240" i="11"/>
  <c r="M240" i="11"/>
  <c r="F196" i="12"/>
  <c r="H196" i="12" s="1"/>
  <c r="P473" i="11"/>
  <c r="M473" i="11"/>
  <c r="F370" i="12"/>
  <c r="H370" i="12" s="1"/>
  <c r="P263" i="11"/>
  <c r="M263" i="11"/>
  <c r="F215" i="12"/>
  <c r="H215" i="12" s="1"/>
  <c r="P49" i="11"/>
  <c r="M49" i="11"/>
  <c r="F43" i="12"/>
  <c r="H43" i="12" s="1"/>
  <c r="P239" i="11"/>
  <c r="F194" i="12"/>
  <c r="H194" i="12" s="1"/>
  <c r="P238" i="11"/>
  <c r="M238" i="11"/>
  <c r="F193" i="12"/>
  <c r="H193" i="12" s="1"/>
  <c r="P237" i="11"/>
  <c r="F192" i="12"/>
  <c r="H192" i="12" s="1"/>
  <c r="P234" i="11"/>
  <c r="F189" i="12"/>
  <c r="H189" i="12" s="1"/>
  <c r="P231" i="11"/>
  <c r="M231" i="11"/>
  <c r="P230" i="11"/>
  <c r="P228" i="11"/>
  <c r="F185" i="12"/>
  <c r="H185" i="12" s="1"/>
  <c r="P227" i="11"/>
  <c r="M227" i="11"/>
  <c r="F184" i="12"/>
  <c r="H184" i="12" s="1"/>
  <c r="P224" i="11"/>
  <c r="M224" i="11"/>
  <c r="F181" i="12"/>
  <c r="H181" i="12" s="1"/>
  <c r="P223" i="11"/>
  <c r="M223" i="11"/>
  <c r="F180" i="12"/>
  <c r="H180" i="12" s="1"/>
  <c r="P222" i="11"/>
  <c r="F190" i="12"/>
  <c r="H190" i="12" s="1"/>
  <c r="P221" i="11"/>
  <c r="M221" i="11"/>
  <c r="P220" i="11"/>
  <c r="F179" i="12"/>
  <c r="H179" i="12" s="1"/>
  <c r="P219" i="11"/>
  <c r="M219" i="11"/>
  <c r="F178" i="12"/>
  <c r="H178" i="12" s="1"/>
  <c r="P218" i="11"/>
  <c r="F177" i="12"/>
  <c r="H177" i="12" s="1"/>
  <c r="P217" i="11"/>
  <c r="M217" i="11"/>
  <c r="F176" i="12"/>
  <c r="H176" i="12" s="1"/>
  <c r="P216" i="11"/>
  <c r="F175" i="12"/>
  <c r="H175" i="12" s="1"/>
  <c r="P215" i="11"/>
  <c r="M215" i="11"/>
  <c r="F173" i="12"/>
  <c r="H173" i="12" s="1"/>
  <c r="P213" i="11"/>
  <c r="M213" i="11"/>
  <c r="P212" i="11"/>
  <c r="M212" i="11"/>
  <c r="F171" i="12"/>
  <c r="H171" i="12" s="1"/>
  <c r="P211" i="11"/>
  <c r="M211" i="11"/>
  <c r="F170" i="12"/>
  <c r="H170" i="12" s="1"/>
  <c r="P208" i="11"/>
  <c r="M208" i="11"/>
  <c r="F167" i="12"/>
  <c r="H167" i="12" s="1"/>
  <c r="P207" i="11"/>
  <c r="M207" i="11"/>
  <c r="F166" i="12"/>
  <c r="H166" i="12" s="1"/>
  <c r="P206" i="11"/>
  <c r="M206" i="11"/>
  <c r="F165" i="12"/>
  <c r="H165" i="12" s="1"/>
  <c r="P205" i="11"/>
  <c r="M205" i="11"/>
  <c r="F164" i="12"/>
  <c r="H164" i="12" s="1"/>
  <c r="P214" i="11"/>
  <c r="M214" i="11"/>
  <c r="F172" i="12"/>
  <c r="H172" i="12" s="1"/>
  <c r="P209" i="11"/>
  <c r="M209" i="11"/>
  <c r="F168" i="12"/>
  <c r="H168" i="12" s="1"/>
  <c r="P204" i="11"/>
  <c r="M204" i="11"/>
  <c r="F163" i="12"/>
  <c r="H163" i="12" s="1"/>
  <c r="P203" i="11"/>
  <c r="M203" i="11"/>
  <c r="F162" i="12"/>
  <c r="H162" i="12" s="1"/>
  <c r="P202" i="11"/>
  <c r="M202" i="11"/>
  <c r="F161" i="12"/>
  <c r="H161" i="12" s="1"/>
  <c r="P201" i="11"/>
  <c r="M201" i="11"/>
  <c r="F159" i="12"/>
  <c r="H159" i="12" s="1"/>
  <c r="P200" i="11"/>
  <c r="M200" i="11"/>
  <c r="F158" i="12"/>
  <c r="H158" i="12" s="1"/>
  <c r="P199" i="11"/>
  <c r="M199" i="11"/>
  <c r="F157" i="12"/>
  <c r="H157" i="12" s="1"/>
  <c r="P197" i="11"/>
  <c r="M197" i="11"/>
  <c r="P194" i="11"/>
  <c r="F160" i="12"/>
  <c r="H160" i="12" s="1"/>
  <c r="P193" i="11"/>
  <c r="F155" i="12"/>
  <c r="H155" i="12" s="1"/>
  <c r="P192" i="11"/>
  <c r="M192" i="11"/>
  <c r="P191" i="11"/>
  <c r="M191" i="11"/>
  <c r="F154" i="12"/>
  <c r="H154" i="12" s="1"/>
  <c r="P189" i="11"/>
  <c r="M189" i="11"/>
  <c r="F152" i="12"/>
  <c r="H152" i="12" s="1"/>
  <c r="P187" i="11"/>
  <c r="M187" i="11"/>
  <c r="F149" i="12"/>
  <c r="H149" i="12" s="1"/>
  <c r="P186" i="11"/>
  <c r="M186" i="11"/>
  <c r="F148" i="12"/>
  <c r="H148" i="12" s="1"/>
  <c r="P185" i="11"/>
  <c r="M185" i="11"/>
  <c r="P184" i="11"/>
  <c r="F146" i="12"/>
  <c r="H146" i="12" s="1"/>
  <c r="P183" i="11"/>
  <c r="M183" i="11"/>
  <c r="F145" i="12"/>
  <c r="H145" i="12" s="1"/>
  <c r="P182" i="11"/>
  <c r="M182" i="11"/>
  <c r="F144" i="12"/>
  <c r="H144" i="12" s="1"/>
  <c r="P180" i="11"/>
  <c r="M180" i="11"/>
  <c r="P178" i="11"/>
  <c r="P177" i="11"/>
  <c r="M177" i="11"/>
  <c r="P176" i="11"/>
  <c r="P174" i="11"/>
  <c r="M174" i="11"/>
  <c r="F140" i="12"/>
  <c r="H140" i="12" s="1"/>
  <c r="P173" i="11"/>
  <c r="M173" i="11"/>
  <c r="F139" i="12"/>
  <c r="H139" i="12" s="1"/>
  <c r="P168" i="11"/>
  <c r="M168" i="11"/>
  <c r="P165" i="11"/>
  <c r="M165" i="11"/>
  <c r="F132" i="12"/>
  <c r="H132" i="12" s="1"/>
  <c r="P162" i="11"/>
  <c r="M162" i="11"/>
  <c r="F129" i="12"/>
  <c r="H129" i="12" s="1"/>
  <c r="P161" i="11"/>
  <c r="M161" i="11"/>
  <c r="P160" i="11"/>
  <c r="M160" i="11"/>
  <c r="F128" i="12"/>
  <c r="H128" i="12" s="1"/>
  <c r="P159" i="11"/>
  <c r="M159" i="11"/>
  <c r="P158" i="11"/>
  <c r="M158" i="11"/>
  <c r="F127" i="12"/>
  <c r="H127" i="12" s="1"/>
  <c r="P157" i="11"/>
  <c r="M157" i="11"/>
  <c r="F126" i="12"/>
  <c r="H126" i="12" s="1"/>
  <c r="P155" i="11"/>
  <c r="M155" i="11"/>
  <c r="F124" i="12"/>
  <c r="H124" i="12" s="1"/>
  <c r="P153" i="11"/>
  <c r="F122" i="12"/>
  <c r="H122" i="12" s="1"/>
  <c r="P32" i="11"/>
  <c r="M32" i="11"/>
  <c r="F31" i="12"/>
  <c r="H31" i="12" s="1"/>
  <c r="P341" i="11"/>
  <c r="M341" i="11"/>
  <c r="F269" i="12"/>
  <c r="H269" i="12" s="1"/>
  <c r="P152" i="11"/>
  <c r="M152" i="11"/>
  <c r="F121" i="12"/>
  <c r="H121" i="12" s="1"/>
  <c r="P151" i="11"/>
  <c r="F120" i="12"/>
  <c r="H120" i="12" s="1"/>
  <c r="P149" i="11"/>
  <c r="M149" i="11"/>
  <c r="P150" i="11"/>
  <c r="F119" i="12"/>
  <c r="H119" i="12" s="1"/>
  <c r="P148" i="11"/>
  <c r="M148" i="11"/>
  <c r="P147" i="11"/>
  <c r="P146" i="11"/>
  <c r="F118" i="12"/>
  <c r="H118" i="12" s="1"/>
  <c r="P145" i="11"/>
  <c r="M145" i="11"/>
  <c r="F117" i="12"/>
  <c r="H117" i="12" s="1"/>
  <c r="P144" i="11"/>
  <c r="F116" i="12"/>
  <c r="H116" i="12" s="1"/>
  <c r="P143" i="11"/>
  <c r="M143" i="11"/>
  <c r="F115" i="12"/>
  <c r="H115" i="12" s="1"/>
  <c r="P142" i="11"/>
  <c r="F114" i="12"/>
  <c r="H114" i="12" s="1"/>
  <c r="P328" i="11"/>
  <c r="M328" i="11"/>
  <c r="P141" i="11"/>
  <c r="F113" i="12"/>
  <c r="H113" i="12" s="1"/>
  <c r="P140" i="11"/>
  <c r="M140" i="11"/>
  <c r="F112" i="12"/>
  <c r="H112" i="12" s="1"/>
  <c r="P139" i="11"/>
  <c r="F111" i="12"/>
  <c r="H111" i="12" s="1"/>
  <c r="P136" i="11"/>
  <c r="M136" i="11"/>
  <c r="P135" i="11"/>
  <c r="P134" i="11"/>
  <c r="M134" i="11"/>
  <c r="P133" i="11"/>
  <c r="F108" i="12"/>
  <c r="H108" i="12" s="1"/>
  <c r="P132" i="11"/>
  <c r="M132" i="11"/>
  <c r="P131" i="11"/>
  <c r="M131" i="11"/>
  <c r="F107" i="12"/>
  <c r="H107" i="12" s="1"/>
  <c r="P130" i="11"/>
  <c r="M130" i="11"/>
  <c r="F106" i="12"/>
  <c r="H106" i="12" s="1"/>
  <c r="P129" i="11"/>
  <c r="M129" i="11"/>
  <c r="F105" i="12"/>
  <c r="H105" i="12" s="1"/>
  <c r="P128" i="11"/>
  <c r="M128" i="11"/>
  <c r="P127" i="11"/>
  <c r="F104" i="12"/>
  <c r="H104" i="12" s="1"/>
  <c r="P126" i="11"/>
  <c r="M126" i="11"/>
  <c r="F103" i="12"/>
  <c r="H103" i="12" s="1"/>
  <c r="P121" i="11"/>
  <c r="M121" i="11"/>
  <c r="F100" i="12"/>
  <c r="H100" i="12" s="1"/>
  <c r="P120" i="11"/>
  <c r="F99" i="12"/>
  <c r="H99" i="12" s="1"/>
  <c r="P118" i="11"/>
  <c r="M118" i="11"/>
  <c r="P16" i="11"/>
  <c r="M16" i="11"/>
  <c r="F22" i="12"/>
  <c r="H22" i="12" s="1"/>
  <c r="P116" i="11"/>
  <c r="M116" i="11"/>
  <c r="P114" i="11"/>
  <c r="M114" i="11"/>
  <c r="F95" i="12"/>
  <c r="H95" i="12" s="1"/>
  <c r="P113" i="11"/>
  <c r="F94" i="12"/>
  <c r="H94" i="12" s="1"/>
  <c r="P112" i="11"/>
  <c r="M112" i="11"/>
  <c r="F93" i="12"/>
  <c r="H93" i="12" s="1"/>
  <c r="P111" i="11"/>
  <c r="M111" i="11"/>
  <c r="F92" i="12"/>
  <c r="H92" i="12" s="1"/>
  <c r="P110" i="11"/>
  <c r="F91" i="12"/>
  <c r="H91" i="12" s="1"/>
  <c r="P109" i="11"/>
  <c r="M109" i="11"/>
  <c r="F90" i="12"/>
  <c r="H90" i="12" s="1"/>
  <c r="P108" i="11"/>
  <c r="M108" i="11"/>
  <c r="F89" i="12"/>
  <c r="H89" i="12" s="1"/>
  <c r="P107" i="11"/>
  <c r="M107" i="11"/>
  <c r="P106" i="11"/>
  <c r="F85" i="12"/>
  <c r="H85" i="12" s="1"/>
  <c r="P105" i="11"/>
  <c r="M105" i="11"/>
  <c r="F84" i="12"/>
  <c r="H84" i="12" s="1"/>
  <c r="P104" i="11"/>
  <c r="M104" i="11"/>
  <c r="F83" i="12"/>
  <c r="H83" i="12" s="1"/>
  <c r="M103" i="11"/>
  <c r="F88" i="12"/>
  <c r="H88" i="12" s="1"/>
  <c r="P101" i="11"/>
  <c r="M101" i="11"/>
  <c r="F86" i="12"/>
  <c r="H86" i="12" s="1"/>
  <c r="P100" i="11"/>
  <c r="M100" i="11"/>
  <c r="P99" i="11"/>
  <c r="F82" i="12"/>
  <c r="H82" i="12" s="1"/>
  <c r="M98" i="11"/>
  <c r="F81" i="12"/>
  <c r="H81" i="12" s="1"/>
  <c r="M102" i="11"/>
  <c r="F87" i="12"/>
  <c r="H87" i="12" s="1"/>
  <c r="P97" i="11"/>
  <c r="M97" i="11"/>
  <c r="F80" i="12"/>
  <c r="H80" i="12" s="1"/>
  <c r="P96" i="11"/>
  <c r="P94" i="11"/>
  <c r="M94" i="11"/>
  <c r="P138" i="11"/>
  <c r="M138" i="11"/>
  <c r="F110" i="12"/>
  <c r="H110" i="12" s="1"/>
  <c r="P508" i="11"/>
  <c r="M508" i="11"/>
  <c r="F399" i="12"/>
  <c r="H399" i="12" s="1"/>
  <c r="P507" i="11"/>
  <c r="M507" i="11"/>
  <c r="F398" i="12"/>
  <c r="H398" i="12" s="1"/>
  <c r="P92" i="11"/>
  <c r="P89" i="11"/>
  <c r="M89" i="11"/>
  <c r="F76" i="12"/>
  <c r="H76" i="12" s="1"/>
  <c r="P87" i="11"/>
  <c r="M87" i="11"/>
  <c r="F74" i="12"/>
  <c r="H74" i="12" s="1"/>
  <c r="P86" i="11"/>
  <c r="M86" i="11"/>
  <c r="F73" i="12"/>
  <c r="H73" i="12" s="1"/>
  <c r="P85" i="11"/>
  <c r="M85" i="11"/>
  <c r="F72" i="12"/>
  <c r="H72" i="12" s="1"/>
  <c r="P84" i="11"/>
  <c r="F71" i="12"/>
  <c r="H71" i="12" s="1"/>
  <c r="P83" i="11"/>
  <c r="M83" i="11"/>
  <c r="F70" i="12"/>
  <c r="H70" i="12" s="1"/>
  <c r="P82" i="11"/>
  <c r="M82" i="11"/>
  <c r="F69" i="12"/>
  <c r="H69" i="12" s="1"/>
  <c r="P81" i="11"/>
  <c r="M81" i="11"/>
  <c r="F68" i="12"/>
  <c r="H68" i="12" s="1"/>
  <c r="P137" i="11"/>
  <c r="M137" i="11"/>
  <c r="F109" i="12"/>
  <c r="H109" i="12" s="1"/>
  <c r="P79" i="11"/>
  <c r="F67" i="12"/>
  <c r="H67" i="12" s="1"/>
  <c r="P78" i="11"/>
  <c r="M78" i="11"/>
  <c r="F65" i="12"/>
  <c r="H65" i="12" s="1"/>
  <c r="P77" i="11"/>
  <c r="M77" i="11"/>
  <c r="F64" i="12"/>
  <c r="H64" i="12" s="1"/>
  <c r="P76" i="11"/>
  <c r="M76" i="11"/>
  <c r="F63" i="12"/>
  <c r="H63" i="12" s="1"/>
  <c r="P75" i="11"/>
  <c r="M75" i="11"/>
  <c r="F62" i="12"/>
  <c r="H62" i="12" s="1"/>
  <c r="P73" i="11"/>
  <c r="M73" i="11"/>
  <c r="F61" i="12"/>
  <c r="H61" i="12" s="1"/>
  <c r="P72" i="11"/>
  <c r="F60" i="12"/>
  <c r="H60" i="12" s="1"/>
  <c r="P70" i="11"/>
  <c r="M70" i="11"/>
  <c r="F58" i="12"/>
  <c r="H58" i="12" s="1"/>
  <c r="P69" i="11"/>
  <c r="M69" i="11"/>
  <c r="P68" i="11"/>
  <c r="M68" i="11"/>
  <c r="F56" i="12"/>
  <c r="H56" i="12" s="1"/>
  <c r="P67" i="11"/>
  <c r="M67" i="11"/>
  <c r="F57" i="12"/>
  <c r="H57" i="12" s="1"/>
  <c r="P65" i="11"/>
  <c r="M65" i="11"/>
  <c r="P63" i="11"/>
  <c r="M63" i="11"/>
  <c r="P62" i="11"/>
  <c r="M62" i="11"/>
  <c r="P58" i="11"/>
  <c r="M58" i="11"/>
  <c r="F52" i="12"/>
  <c r="H52" i="12" s="1"/>
  <c r="P57" i="11"/>
  <c r="M57" i="11"/>
  <c r="F51" i="12"/>
  <c r="H51" i="12" s="1"/>
  <c r="P56" i="11"/>
  <c r="M56" i="11"/>
  <c r="F50" i="12"/>
  <c r="H50" i="12" s="1"/>
  <c r="P55" i="11"/>
  <c r="M55" i="11"/>
  <c r="F48" i="12"/>
  <c r="H48" i="12" s="1"/>
  <c r="P53" i="11"/>
  <c r="M53" i="11"/>
  <c r="F47" i="12"/>
  <c r="H47" i="12" s="1"/>
  <c r="P501" i="11"/>
  <c r="M501" i="11"/>
  <c r="F392" i="12"/>
  <c r="H392" i="12" s="1"/>
  <c r="P52" i="11"/>
  <c r="M52" i="11"/>
  <c r="F46" i="12"/>
  <c r="H46" i="12" s="1"/>
  <c r="P51" i="11"/>
  <c r="M51" i="11"/>
  <c r="F45" i="12"/>
  <c r="H45" i="12" s="1"/>
  <c r="P50" i="11"/>
  <c r="M50" i="11"/>
  <c r="F44" i="12"/>
  <c r="H44" i="12" s="1"/>
  <c r="P48" i="11"/>
  <c r="M48" i="11"/>
  <c r="P47" i="11"/>
  <c r="M47" i="11"/>
  <c r="P46" i="11"/>
  <c r="F42" i="12"/>
  <c r="H42" i="12" s="1"/>
  <c r="P45" i="11"/>
  <c r="M45" i="11"/>
  <c r="P44" i="11"/>
  <c r="M44" i="11"/>
  <c r="F41" i="12"/>
  <c r="H41" i="12" s="1"/>
  <c r="P43" i="11"/>
  <c r="M43" i="11"/>
  <c r="F40" i="12"/>
  <c r="H40" i="12" s="1"/>
  <c r="P42" i="11"/>
  <c r="M42" i="11"/>
  <c r="F39" i="12"/>
  <c r="H39" i="12" s="1"/>
  <c r="P41" i="11"/>
  <c r="M41" i="11"/>
  <c r="F38" i="12"/>
  <c r="H38" i="12" s="1"/>
  <c r="P40" i="11"/>
  <c r="M40" i="11"/>
  <c r="F37" i="12"/>
  <c r="H37" i="12" s="1"/>
  <c r="P39" i="11"/>
  <c r="M39" i="11"/>
  <c r="F36" i="12"/>
  <c r="H36" i="12" s="1"/>
  <c r="P38" i="11"/>
  <c r="M38" i="11"/>
  <c r="F35" i="12"/>
  <c r="H35" i="12" s="1"/>
  <c r="P37" i="11"/>
  <c r="M37" i="11"/>
  <c r="F34" i="12"/>
  <c r="H34" i="12" s="1"/>
  <c r="P36" i="11"/>
  <c r="M36" i="11"/>
  <c r="P34" i="11"/>
  <c r="M34" i="11"/>
  <c r="F32" i="12"/>
  <c r="H32" i="12" s="1"/>
  <c r="P33" i="11"/>
  <c r="M33" i="11"/>
  <c r="P30" i="11"/>
  <c r="M30" i="11"/>
  <c r="P29" i="11"/>
  <c r="M29" i="11"/>
  <c r="P28" i="11"/>
  <c r="M28" i="11"/>
  <c r="P125" i="11"/>
  <c r="M125" i="11"/>
  <c r="F102" i="12"/>
  <c r="H102" i="12" s="1"/>
  <c r="P27" i="11"/>
  <c r="M27" i="11"/>
  <c r="P26" i="11"/>
  <c r="M26" i="11"/>
  <c r="F29" i="12"/>
  <c r="H29" i="12" s="1"/>
  <c r="P453" i="11"/>
  <c r="M453" i="11"/>
  <c r="F354" i="12"/>
  <c r="H354" i="12" s="1"/>
  <c r="P309" i="11"/>
  <c r="M309" i="11"/>
  <c r="F250" i="12"/>
  <c r="H250" i="12" s="1"/>
  <c r="P304" i="11"/>
  <c r="M304" i="11"/>
  <c r="F246" i="12"/>
  <c r="H246" i="12" s="1"/>
  <c r="P301" i="11"/>
  <c r="M301" i="11"/>
  <c r="F243" i="12"/>
  <c r="H243" i="12" s="1"/>
  <c r="P170" i="11"/>
  <c r="M170" i="11"/>
  <c r="F136" i="12"/>
  <c r="H136" i="12" s="1"/>
  <c r="P164" i="11"/>
  <c r="M164" i="11"/>
  <c r="F131" i="12"/>
  <c r="H131" i="12" s="1"/>
  <c r="P119" i="11"/>
  <c r="M119" i="11"/>
  <c r="F98" i="12"/>
  <c r="H98" i="12" s="1"/>
  <c r="P25" i="11"/>
  <c r="M25" i="11"/>
  <c r="F28" i="12"/>
  <c r="H28" i="12" s="1"/>
  <c r="P23" i="11"/>
  <c r="M23" i="11"/>
  <c r="F26" i="12"/>
  <c r="H26" i="12" s="1"/>
  <c r="P22" i="11"/>
  <c r="M22" i="11"/>
  <c r="P21" i="11"/>
  <c r="M21" i="11"/>
  <c r="F25" i="12"/>
  <c r="H25" i="12" s="1"/>
  <c r="P74" i="11"/>
  <c r="M74" i="11"/>
  <c r="P17" i="11"/>
  <c r="M17" i="11"/>
  <c r="F23" i="12"/>
  <c r="H23" i="12" s="1"/>
  <c r="P15" i="11"/>
  <c r="M15" i="11"/>
  <c r="F21" i="12"/>
  <c r="H21" i="12" s="1"/>
  <c r="P14" i="11"/>
  <c r="M14" i="11"/>
  <c r="P13" i="11"/>
  <c r="F20" i="12"/>
  <c r="H20" i="12" s="1"/>
  <c r="P12" i="11"/>
  <c r="F19" i="12"/>
  <c r="H19" i="12" s="1"/>
  <c r="P115" i="11"/>
  <c r="M115" i="11"/>
  <c r="F96" i="12"/>
  <c r="H96" i="12" s="1"/>
  <c r="P88" i="11"/>
  <c r="M88" i="11"/>
  <c r="F75" i="12"/>
  <c r="H75" i="12" s="1"/>
  <c r="P10" i="11"/>
  <c r="M10" i="11"/>
  <c r="F16" i="12"/>
  <c r="H16" i="12" s="1"/>
  <c r="P190" i="11"/>
  <c r="M190" i="11"/>
  <c r="F153" i="12"/>
  <c r="H153" i="12" s="1"/>
  <c r="P512" i="11"/>
  <c r="M512" i="11"/>
  <c r="F400" i="12"/>
  <c r="H400" i="12" s="1"/>
  <c r="P9" i="11"/>
  <c r="M9" i="11"/>
  <c r="F15" i="12"/>
  <c r="H15" i="12" s="1"/>
  <c r="P481" i="11"/>
  <c r="M481" i="11"/>
  <c r="F374" i="12"/>
  <c r="H374" i="12" s="1"/>
  <c r="P7" i="11"/>
  <c r="M7" i="11"/>
  <c r="P479" i="11"/>
  <c r="M479" i="11"/>
  <c r="F373" i="12"/>
  <c r="H373" i="12" s="1"/>
  <c r="P8" i="11"/>
  <c r="M8" i="11"/>
  <c r="F14" i="12"/>
  <c r="H14" i="12" s="1"/>
  <c r="P470" i="11"/>
  <c r="M470" i="11"/>
  <c r="F367" i="12"/>
  <c r="H367" i="12" s="1"/>
  <c r="P329" i="11"/>
  <c r="M329" i="11"/>
  <c r="F266" i="12"/>
  <c r="H266" i="12" s="1"/>
  <c r="P332" i="11"/>
  <c r="M332" i="11"/>
  <c r="F263" i="12"/>
  <c r="H263" i="12" s="1"/>
  <c r="P283" i="11"/>
  <c r="M283" i="11"/>
  <c r="F228" i="12"/>
  <c r="H228" i="12" s="1"/>
  <c r="P298" i="11"/>
  <c r="M298" i="11"/>
  <c r="F240" i="12"/>
  <c r="H240" i="12" s="1"/>
  <c r="P446" i="11"/>
  <c r="M446" i="11"/>
  <c r="F350" i="12"/>
  <c r="H350" i="12" s="1"/>
  <c r="P499" i="11"/>
  <c r="M499" i="11"/>
  <c r="F391" i="12"/>
  <c r="H391" i="12" s="1"/>
  <c r="P503" i="11"/>
  <c r="M503" i="11"/>
  <c r="F395" i="12"/>
  <c r="H395" i="12" s="1"/>
  <c r="P232" i="11"/>
  <c r="M232" i="11"/>
  <c r="F187" i="12"/>
  <c r="H187" i="12" s="1"/>
  <c r="P440" i="11"/>
  <c r="M440" i="11"/>
  <c r="F345" i="12"/>
  <c r="H345" i="12" s="1"/>
  <c r="P422" i="11"/>
  <c r="M422" i="11"/>
  <c r="F330" i="12"/>
  <c r="H330" i="12" s="1"/>
  <c r="P391" i="11"/>
  <c r="M391" i="11"/>
  <c r="F306" i="12"/>
  <c r="H306" i="12" s="1"/>
  <c r="P325" i="11"/>
  <c r="M325" i="11"/>
  <c r="F260" i="12"/>
  <c r="H260" i="12" s="1"/>
  <c r="P284" i="11"/>
  <c r="M284" i="11"/>
  <c r="F229" i="12"/>
  <c r="H229" i="12" s="1"/>
  <c r="P279" i="11"/>
  <c r="M279" i="11"/>
  <c r="F225" i="12"/>
  <c r="H225" i="12" s="1"/>
  <c r="P235" i="11"/>
  <c r="M235" i="11"/>
  <c r="F191" i="12"/>
  <c r="H191" i="12" s="1"/>
  <c r="P233" i="11"/>
  <c r="M233" i="11"/>
  <c r="F188" i="12"/>
  <c r="H188" i="12" s="1"/>
  <c r="P226" i="11"/>
  <c r="M226" i="11"/>
  <c r="F183" i="12"/>
  <c r="H183" i="12" s="1"/>
  <c r="P172" i="11"/>
  <c r="M172" i="11"/>
  <c r="F138" i="12"/>
  <c r="H138" i="12" s="1"/>
  <c r="P163" i="11"/>
  <c r="M163" i="11"/>
  <c r="F130" i="12"/>
  <c r="H130" i="12" s="1"/>
  <c r="P535" i="11"/>
  <c r="M535" i="11"/>
  <c r="P66" i="11"/>
  <c r="M66" i="11"/>
  <c r="F55" i="12"/>
  <c r="H55" i="12" s="1"/>
  <c r="P31" i="11"/>
  <c r="M31" i="11"/>
  <c r="F30" i="12"/>
  <c r="H30" i="12" s="1"/>
  <c r="P11" i="11"/>
  <c r="M11" i="11"/>
  <c r="F17" i="12"/>
  <c r="H17" i="12" s="1"/>
  <c r="P236" i="11"/>
  <c r="M236" i="11"/>
  <c r="F195" i="12"/>
  <c r="H195" i="12" s="1"/>
  <c r="P154" i="11"/>
  <c r="M154" i="11"/>
  <c r="F123" i="12"/>
  <c r="H123" i="12" s="1"/>
  <c r="P370" i="11"/>
  <c r="M370" i="11"/>
  <c r="F316" i="12"/>
  <c r="H316" i="12" s="1"/>
  <c r="P261" i="11"/>
  <c r="M261" i="11"/>
  <c r="F213" i="12"/>
  <c r="H213" i="12" s="1"/>
  <c r="P6" i="11"/>
  <c r="M6" i="11"/>
  <c r="F13" i="12"/>
  <c r="H13" i="12" s="1"/>
  <c r="P523" i="11"/>
  <c r="M523" i="11"/>
  <c r="F407" i="12"/>
  <c r="H407" i="12" s="1"/>
  <c r="P520" i="11"/>
  <c r="M520" i="11"/>
  <c r="F404" i="12"/>
  <c r="H404" i="12" s="1"/>
  <c r="P447" i="11"/>
  <c r="M447" i="11"/>
  <c r="F351" i="12"/>
  <c r="H351" i="12" s="1"/>
  <c r="P253" i="11"/>
  <c r="M253" i="11"/>
  <c r="F206" i="12"/>
  <c r="H206" i="12" s="1"/>
  <c r="P456" i="11"/>
  <c r="M456" i="11"/>
  <c r="F357" i="12"/>
  <c r="H357" i="12" s="1"/>
  <c r="P181" i="11"/>
  <c r="M181" i="11"/>
  <c r="F143" i="12"/>
  <c r="H143" i="12" s="1"/>
  <c r="P5" i="11"/>
  <c r="M5" i="11"/>
  <c r="J5" i="11"/>
  <c r="F18" i="12" s="1"/>
  <c r="H18" i="12" s="1"/>
  <c r="P297" i="11"/>
  <c r="F422" i="13"/>
  <c r="H422" i="13" s="1"/>
  <c r="E422" i="13"/>
  <c r="G422" i="13" s="1"/>
  <c r="F421" i="13"/>
  <c r="H421" i="13" s="1"/>
  <c r="E421" i="13"/>
  <c r="G421" i="13" s="1"/>
  <c r="F420" i="13"/>
  <c r="H420" i="13" s="1"/>
  <c r="E420" i="13"/>
  <c r="G420" i="13" s="1"/>
  <c r="F419" i="13"/>
  <c r="H419" i="13" s="1"/>
  <c r="E419" i="13"/>
  <c r="G419" i="13" s="1"/>
  <c r="F418" i="13"/>
  <c r="H418" i="13" s="1"/>
  <c r="E418" i="13"/>
  <c r="G418" i="13" s="1"/>
  <c r="F417" i="13"/>
  <c r="H417" i="13" s="1"/>
  <c r="E417" i="13"/>
  <c r="G417" i="13" s="1"/>
  <c r="F416" i="13"/>
  <c r="H416" i="13" s="1"/>
  <c r="E416" i="13"/>
  <c r="G416" i="13" s="1"/>
  <c r="F415" i="13"/>
  <c r="H415" i="13" s="1"/>
  <c r="E415" i="13"/>
  <c r="G415" i="13" s="1"/>
  <c r="D415" i="13"/>
  <c r="F414" i="13"/>
  <c r="H414" i="13" s="1"/>
  <c r="E414" i="13"/>
  <c r="G414" i="13" s="1"/>
  <c r="F413" i="13"/>
  <c r="H413" i="13" s="1"/>
  <c r="E413" i="13"/>
  <c r="G413" i="13" s="1"/>
  <c r="F412" i="13"/>
  <c r="H412" i="13" s="1"/>
  <c r="E412" i="13"/>
  <c r="G412" i="13" s="1"/>
  <c r="F411" i="13"/>
  <c r="H411" i="13" s="1"/>
  <c r="E411" i="13"/>
  <c r="G411" i="13" s="1"/>
  <c r="F410" i="13"/>
  <c r="H410" i="13" s="1"/>
  <c r="E410" i="13"/>
  <c r="G410" i="13" s="1"/>
  <c r="F409" i="13"/>
  <c r="H409" i="13" s="1"/>
  <c r="E409" i="13"/>
  <c r="G409" i="13" s="1"/>
  <c r="F408" i="13"/>
  <c r="H408" i="13" s="1"/>
  <c r="E408" i="13"/>
  <c r="G408" i="13" s="1"/>
  <c r="F407" i="13"/>
  <c r="H407" i="13" s="1"/>
  <c r="E407" i="13"/>
  <c r="G407" i="13" s="1"/>
  <c r="F406" i="13"/>
  <c r="H406" i="13" s="1"/>
  <c r="E406" i="13"/>
  <c r="G406" i="13" s="1"/>
  <c r="F405" i="13"/>
  <c r="H405" i="13" s="1"/>
  <c r="E405" i="13"/>
  <c r="G405" i="13" s="1"/>
  <c r="F404" i="13"/>
  <c r="H404" i="13" s="1"/>
  <c r="E404" i="13"/>
  <c r="G404" i="13" s="1"/>
  <c r="F403" i="13"/>
  <c r="H403" i="13" s="1"/>
  <c r="E403" i="13"/>
  <c r="G403" i="13" s="1"/>
  <c r="F402" i="13"/>
  <c r="H402" i="13" s="1"/>
  <c r="E402" i="13"/>
  <c r="G402" i="13" s="1"/>
  <c r="F401" i="13"/>
  <c r="H401" i="13" s="1"/>
  <c r="E401" i="13"/>
  <c r="G401" i="13" s="1"/>
  <c r="F400" i="13"/>
  <c r="H400" i="13" s="1"/>
  <c r="E400" i="13"/>
  <c r="G400" i="13" s="1"/>
  <c r="F399" i="13"/>
  <c r="H399" i="13" s="1"/>
  <c r="E399" i="13"/>
  <c r="G399" i="13" s="1"/>
  <c r="F398" i="13"/>
  <c r="H398" i="13" s="1"/>
  <c r="E398" i="13"/>
  <c r="G398" i="13" s="1"/>
  <c r="F397" i="13"/>
  <c r="H397" i="13" s="1"/>
  <c r="E397" i="13"/>
  <c r="G397" i="13" s="1"/>
  <c r="F396" i="13"/>
  <c r="H396" i="13" s="1"/>
  <c r="E396" i="13"/>
  <c r="G396" i="13" s="1"/>
  <c r="F395" i="13"/>
  <c r="H395" i="13" s="1"/>
  <c r="E395" i="13"/>
  <c r="G395" i="13" s="1"/>
  <c r="F394" i="13"/>
  <c r="H394" i="13" s="1"/>
  <c r="E394" i="13"/>
  <c r="G394" i="13" s="1"/>
  <c r="F393" i="13"/>
  <c r="H393" i="13" s="1"/>
  <c r="E393" i="13"/>
  <c r="G393" i="13" s="1"/>
  <c r="F392" i="13"/>
  <c r="H392" i="13" s="1"/>
  <c r="E392" i="13"/>
  <c r="G392" i="13" s="1"/>
  <c r="F391" i="13"/>
  <c r="H391" i="13" s="1"/>
  <c r="E391" i="13"/>
  <c r="G391" i="13" s="1"/>
  <c r="F390" i="13"/>
  <c r="H390" i="13" s="1"/>
  <c r="E390" i="13"/>
  <c r="G390" i="13" s="1"/>
  <c r="F389" i="13"/>
  <c r="H389" i="13" s="1"/>
  <c r="E389" i="13"/>
  <c r="G389" i="13" s="1"/>
  <c r="F388" i="13"/>
  <c r="H388" i="13" s="1"/>
  <c r="E388" i="13"/>
  <c r="G388" i="13" s="1"/>
  <c r="F387" i="13"/>
  <c r="H387" i="13" s="1"/>
  <c r="E387" i="13"/>
  <c r="G387" i="13" s="1"/>
  <c r="F386" i="13"/>
  <c r="H386" i="13" s="1"/>
  <c r="E386" i="13"/>
  <c r="G386" i="13" s="1"/>
  <c r="F385" i="13"/>
  <c r="H385" i="13" s="1"/>
  <c r="E385" i="13"/>
  <c r="G385" i="13" s="1"/>
  <c r="F384" i="13"/>
  <c r="H384" i="13" s="1"/>
  <c r="E384" i="13"/>
  <c r="G384" i="13" s="1"/>
  <c r="F383" i="13"/>
  <c r="H383" i="13" s="1"/>
  <c r="E383" i="13"/>
  <c r="G383" i="13" s="1"/>
  <c r="F382" i="13"/>
  <c r="H382" i="13" s="1"/>
  <c r="E382" i="13"/>
  <c r="G382" i="13" s="1"/>
  <c r="F381" i="13"/>
  <c r="H381" i="13" s="1"/>
  <c r="E381" i="13"/>
  <c r="G381" i="13" s="1"/>
  <c r="F380" i="13"/>
  <c r="H380" i="13" s="1"/>
  <c r="E380" i="13"/>
  <c r="G380" i="13" s="1"/>
  <c r="F379" i="13"/>
  <c r="H379" i="13" s="1"/>
  <c r="E379" i="13"/>
  <c r="G379" i="13" s="1"/>
  <c r="F378" i="13"/>
  <c r="H378" i="13" s="1"/>
  <c r="E378" i="13"/>
  <c r="G378" i="13" s="1"/>
  <c r="F377" i="13"/>
  <c r="H377" i="13" s="1"/>
  <c r="E377" i="13"/>
  <c r="G377" i="13" s="1"/>
  <c r="F376" i="13"/>
  <c r="H376" i="13" s="1"/>
  <c r="E376" i="13"/>
  <c r="G376" i="13" s="1"/>
  <c r="F375" i="13"/>
  <c r="H375" i="13" s="1"/>
  <c r="E375" i="13"/>
  <c r="G375" i="13" s="1"/>
  <c r="F374" i="13"/>
  <c r="H374" i="13" s="1"/>
  <c r="E374" i="13"/>
  <c r="G374" i="13" s="1"/>
  <c r="F373" i="13"/>
  <c r="H373" i="13" s="1"/>
  <c r="E373" i="13"/>
  <c r="G373" i="13" s="1"/>
  <c r="F372" i="13"/>
  <c r="H372" i="13" s="1"/>
  <c r="E372" i="13"/>
  <c r="G372" i="13" s="1"/>
  <c r="F371" i="13"/>
  <c r="H371" i="13" s="1"/>
  <c r="E371" i="13"/>
  <c r="G371" i="13" s="1"/>
  <c r="F370" i="13"/>
  <c r="H370" i="13" s="1"/>
  <c r="E370" i="13"/>
  <c r="G370" i="13" s="1"/>
  <c r="F369" i="13"/>
  <c r="H369" i="13" s="1"/>
  <c r="E369" i="13"/>
  <c r="G369" i="13" s="1"/>
  <c r="F368" i="13"/>
  <c r="H368" i="13" s="1"/>
  <c r="E368" i="13"/>
  <c r="G368" i="13" s="1"/>
  <c r="F367" i="13"/>
  <c r="H367" i="13" s="1"/>
  <c r="E367" i="13"/>
  <c r="G367" i="13" s="1"/>
  <c r="F366" i="13"/>
  <c r="H366" i="13" s="1"/>
  <c r="E366" i="13"/>
  <c r="G366" i="13" s="1"/>
  <c r="F365" i="13"/>
  <c r="H365" i="13" s="1"/>
  <c r="E365" i="13"/>
  <c r="G365" i="13" s="1"/>
  <c r="F364" i="13"/>
  <c r="H364" i="13" s="1"/>
  <c r="E364" i="13"/>
  <c r="G364" i="13" s="1"/>
  <c r="F363" i="13"/>
  <c r="H363" i="13" s="1"/>
  <c r="E363" i="13"/>
  <c r="G363" i="13" s="1"/>
  <c r="F362" i="13"/>
  <c r="H362" i="13" s="1"/>
  <c r="E362" i="13"/>
  <c r="G362" i="13" s="1"/>
  <c r="F361" i="13"/>
  <c r="H361" i="13" s="1"/>
  <c r="E361" i="13"/>
  <c r="G361" i="13" s="1"/>
  <c r="F360" i="13"/>
  <c r="H360" i="13" s="1"/>
  <c r="E360" i="13"/>
  <c r="G360" i="13" s="1"/>
  <c r="F359" i="13"/>
  <c r="H359" i="13" s="1"/>
  <c r="E359" i="13"/>
  <c r="G359" i="13" s="1"/>
  <c r="F358" i="13"/>
  <c r="H358" i="13" s="1"/>
  <c r="E358" i="13"/>
  <c r="G358" i="13" s="1"/>
  <c r="F357" i="13"/>
  <c r="H357" i="13" s="1"/>
  <c r="E357" i="13"/>
  <c r="G357" i="13" s="1"/>
  <c r="F356" i="13"/>
  <c r="H356" i="13" s="1"/>
  <c r="E356" i="13"/>
  <c r="G356" i="13" s="1"/>
  <c r="F355" i="13"/>
  <c r="H355" i="13" s="1"/>
  <c r="E355" i="13"/>
  <c r="G355" i="13" s="1"/>
  <c r="F354" i="13"/>
  <c r="H354" i="13" s="1"/>
  <c r="E354" i="13"/>
  <c r="G354" i="13" s="1"/>
  <c r="F353" i="13"/>
  <c r="H353" i="13" s="1"/>
  <c r="E353" i="13"/>
  <c r="G353" i="13" s="1"/>
  <c r="F352" i="13"/>
  <c r="H352" i="13" s="1"/>
  <c r="E352" i="13"/>
  <c r="G352" i="13" s="1"/>
  <c r="F351" i="13"/>
  <c r="H351" i="13" s="1"/>
  <c r="E351" i="13"/>
  <c r="G351" i="13" s="1"/>
  <c r="F350" i="13"/>
  <c r="H350" i="13" s="1"/>
  <c r="E350" i="13"/>
  <c r="G350" i="13" s="1"/>
  <c r="F349" i="13"/>
  <c r="H349" i="13" s="1"/>
  <c r="E349" i="13"/>
  <c r="G349" i="13" s="1"/>
  <c r="F348" i="13"/>
  <c r="H348" i="13" s="1"/>
  <c r="E348" i="13"/>
  <c r="G348" i="13" s="1"/>
  <c r="F347" i="13"/>
  <c r="H347" i="13" s="1"/>
  <c r="E347" i="13"/>
  <c r="G347" i="13" s="1"/>
  <c r="F346" i="13"/>
  <c r="H346" i="13" s="1"/>
  <c r="E346" i="13"/>
  <c r="G346" i="13" s="1"/>
  <c r="F345" i="13"/>
  <c r="H345" i="13" s="1"/>
  <c r="E345" i="13"/>
  <c r="G345" i="13" s="1"/>
  <c r="F344" i="13"/>
  <c r="H344" i="13" s="1"/>
  <c r="E344" i="13"/>
  <c r="G344" i="13" s="1"/>
  <c r="F343" i="13"/>
  <c r="H343" i="13" s="1"/>
  <c r="E343" i="13"/>
  <c r="G343" i="13" s="1"/>
  <c r="F342" i="13"/>
  <c r="H342" i="13" s="1"/>
  <c r="E342" i="13"/>
  <c r="G342" i="13" s="1"/>
  <c r="F341" i="13"/>
  <c r="H341" i="13" s="1"/>
  <c r="E341" i="13"/>
  <c r="G341" i="13" s="1"/>
  <c r="F340" i="13"/>
  <c r="H340" i="13" s="1"/>
  <c r="E340" i="13"/>
  <c r="G340" i="13" s="1"/>
  <c r="F339" i="13"/>
  <c r="H339" i="13" s="1"/>
  <c r="E339" i="13"/>
  <c r="G339" i="13" s="1"/>
  <c r="F338" i="13"/>
  <c r="H338" i="13" s="1"/>
  <c r="E338" i="13"/>
  <c r="G338" i="13" s="1"/>
  <c r="F337" i="13"/>
  <c r="H337" i="13" s="1"/>
  <c r="E337" i="13"/>
  <c r="G337" i="13" s="1"/>
  <c r="F336" i="13"/>
  <c r="H336" i="13" s="1"/>
  <c r="E336" i="13"/>
  <c r="G336" i="13" s="1"/>
  <c r="F335" i="13"/>
  <c r="H335" i="13" s="1"/>
  <c r="E335" i="13"/>
  <c r="G335" i="13" s="1"/>
  <c r="F334" i="13"/>
  <c r="H334" i="13" s="1"/>
  <c r="E334" i="13"/>
  <c r="G334" i="13" s="1"/>
  <c r="F333" i="13"/>
  <c r="H333" i="13" s="1"/>
  <c r="E333" i="13"/>
  <c r="G333" i="13" s="1"/>
  <c r="F332" i="13"/>
  <c r="H332" i="13" s="1"/>
  <c r="E332" i="13"/>
  <c r="G332" i="13" s="1"/>
  <c r="F331" i="13"/>
  <c r="H331" i="13" s="1"/>
  <c r="E331" i="13"/>
  <c r="G331" i="13" s="1"/>
  <c r="F330" i="13"/>
  <c r="H330" i="13" s="1"/>
  <c r="E330" i="13"/>
  <c r="G330" i="13" s="1"/>
  <c r="F329" i="13"/>
  <c r="H329" i="13" s="1"/>
  <c r="E329" i="13"/>
  <c r="G329" i="13" s="1"/>
  <c r="F328" i="13"/>
  <c r="H328" i="13" s="1"/>
  <c r="E328" i="13"/>
  <c r="G328" i="13" s="1"/>
  <c r="F327" i="13"/>
  <c r="H327" i="13" s="1"/>
  <c r="E327" i="13"/>
  <c r="G327" i="13" s="1"/>
  <c r="F326" i="13"/>
  <c r="H326" i="13" s="1"/>
  <c r="E326" i="13"/>
  <c r="G326" i="13" s="1"/>
  <c r="F325" i="13"/>
  <c r="H325" i="13" s="1"/>
  <c r="E325" i="13"/>
  <c r="G325" i="13" s="1"/>
  <c r="F324" i="13"/>
  <c r="H324" i="13" s="1"/>
  <c r="E324" i="13"/>
  <c r="G324" i="13" s="1"/>
  <c r="F323" i="13"/>
  <c r="H323" i="13" s="1"/>
  <c r="E323" i="13"/>
  <c r="G323" i="13" s="1"/>
  <c r="F322" i="13"/>
  <c r="H322" i="13" s="1"/>
  <c r="E322" i="13"/>
  <c r="G322" i="13" s="1"/>
  <c r="F321" i="13"/>
  <c r="H321" i="13" s="1"/>
  <c r="E321" i="13"/>
  <c r="G321" i="13" s="1"/>
  <c r="F320" i="13"/>
  <c r="H320" i="13" s="1"/>
  <c r="E320" i="13"/>
  <c r="G320" i="13" s="1"/>
  <c r="F319" i="13"/>
  <c r="H319" i="13" s="1"/>
  <c r="E319" i="13"/>
  <c r="G319" i="13" s="1"/>
  <c r="F318" i="13"/>
  <c r="H318" i="13" s="1"/>
  <c r="E318" i="13"/>
  <c r="G318" i="13" s="1"/>
  <c r="F317" i="13"/>
  <c r="H317" i="13" s="1"/>
  <c r="E317" i="13"/>
  <c r="G317" i="13" s="1"/>
  <c r="F316" i="13"/>
  <c r="H316" i="13" s="1"/>
  <c r="E316" i="13"/>
  <c r="G316" i="13" s="1"/>
  <c r="F315" i="13"/>
  <c r="H315" i="13" s="1"/>
  <c r="E315" i="13"/>
  <c r="G315" i="13" s="1"/>
  <c r="F314" i="13"/>
  <c r="H314" i="13" s="1"/>
  <c r="E314" i="13"/>
  <c r="G314" i="13" s="1"/>
  <c r="F313" i="13"/>
  <c r="H313" i="13" s="1"/>
  <c r="E313" i="13"/>
  <c r="G313" i="13" s="1"/>
  <c r="F312" i="13"/>
  <c r="H312" i="13" s="1"/>
  <c r="E312" i="13"/>
  <c r="G312" i="13" s="1"/>
  <c r="F311" i="13"/>
  <c r="H311" i="13" s="1"/>
  <c r="E311" i="13"/>
  <c r="G311" i="13" s="1"/>
  <c r="F310" i="13"/>
  <c r="H310" i="13" s="1"/>
  <c r="E310" i="13"/>
  <c r="G310" i="13" s="1"/>
  <c r="F309" i="13"/>
  <c r="H309" i="13" s="1"/>
  <c r="E309" i="13"/>
  <c r="G309" i="13" s="1"/>
  <c r="F308" i="13"/>
  <c r="H308" i="13" s="1"/>
  <c r="E308" i="13"/>
  <c r="G308" i="13" s="1"/>
  <c r="F307" i="13"/>
  <c r="H307" i="13" s="1"/>
  <c r="E307" i="13"/>
  <c r="G307" i="13" s="1"/>
  <c r="F306" i="13"/>
  <c r="H306" i="13" s="1"/>
  <c r="E306" i="13"/>
  <c r="G306" i="13" s="1"/>
  <c r="F305" i="13"/>
  <c r="H305" i="13" s="1"/>
  <c r="E305" i="13"/>
  <c r="G305" i="13" s="1"/>
  <c r="F304" i="13"/>
  <c r="H304" i="13" s="1"/>
  <c r="E304" i="13"/>
  <c r="G304" i="13" s="1"/>
  <c r="F303" i="13"/>
  <c r="H303" i="13" s="1"/>
  <c r="E303" i="13"/>
  <c r="G303" i="13" s="1"/>
  <c r="F302" i="13"/>
  <c r="H302" i="13" s="1"/>
  <c r="E302" i="13"/>
  <c r="G302" i="13" s="1"/>
  <c r="F301" i="13"/>
  <c r="H301" i="13" s="1"/>
  <c r="E301" i="13"/>
  <c r="G301" i="13" s="1"/>
  <c r="F300" i="13"/>
  <c r="H300" i="13" s="1"/>
  <c r="E300" i="13"/>
  <c r="G300" i="13" s="1"/>
  <c r="F299" i="13"/>
  <c r="H299" i="13" s="1"/>
  <c r="E299" i="13"/>
  <c r="G299" i="13" s="1"/>
  <c r="F298" i="13"/>
  <c r="H298" i="13" s="1"/>
  <c r="E298" i="13"/>
  <c r="G298" i="13" s="1"/>
  <c r="F297" i="13"/>
  <c r="H297" i="13" s="1"/>
  <c r="E297" i="13"/>
  <c r="G297" i="13" s="1"/>
  <c r="F296" i="13"/>
  <c r="H296" i="13" s="1"/>
  <c r="E296" i="13"/>
  <c r="G296" i="13" s="1"/>
  <c r="F295" i="13"/>
  <c r="H295" i="13" s="1"/>
  <c r="E295" i="13"/>
  <c r="G295" i="13" s="1"/>
  <c r="F294" i="13"/>
  <c r="H294" i="13" s="1"/>
  <c r="E294" i="13"/>
  <c r="G294" i="13" s="1"/>
  <c r="F293" i="13"/>
  <c r="H293" i="13" s="1"/>
  <c r="E293" i="13"/>
  <c r="G293" i="13" s="1"/>
  <c r="F292" i="13"/>
  <c r="H292" i="13" s="1"/>
  <c r="E292" i="13"/>
  <c r="G292" i="13" s="1"/>
  <c r="F291" i="13"/>
  <c r="H291" i="13" s="1"/>
  <c r="E291" i="13"/>
  <c r="G291" i="13" s="1"/>
  <c r="F290" i="13"/>
  <c r="H290" i="13" s="1"/>
  <c r="E290" i="13"/>
  <c r="G290" i="13" s="1"/>
  <c r="F289" i="13"/>
  <c r="H289" i="13" s="1"/>
  <c r="E289" i="13"/>
  <c r="G289" i="13" s="1"/>
  <c r="F288" i="13"/>
  <c r="H288" i="13" s="1"/>
  <c r="E288" i="13"/>
  <c r="G288" i="13" s="1"/>
  <c r="F287" i="13"/>
  <c r="H287" i="13" s="1"/>
  <c r="E287" i="13"/>
  <c r="G287" i="13" s="1"/>
  <c r="F286" i="13"/>
  <c r="H286" i="13" s="1"/>
  <c r="E286" i="13"/>
  <c r="G286" i="13" s="1"/>
  <c r="F285" i="13"/>
  <c r="H285" i="13" s="1"/>
  <c r="E285" i="13"/>
  <c r="G285" i="13" s="1"/>
  <c r="F284" i="13"/>
  <c r="H284" i="13" s="1"/>
  <c r="E284" i="13"/>
  <c r="G284" i="13" s="1"/>
  <c r="F283" i="13"/>
  <c r="H283" i="13" s="1"/>
  <c r="E283" i="13"/>
  <c r="G283" i="13" s="1"/>
  <c r="F282" i="13"/>
  <c r="H282" i="13" s="1"/>
  <c r="E282" i="13"/>
  <c r="G282" i="13" s="1"/>
  <c r="F281" i="13"/>
  <c r="H281" i="13" s="1"/>
  <c r="E281" i="13"/>
  <c r="G281" i="13" s="1"/>
  <c r="F280" i="13"/>
  <c r="H280" i="13" s="1"/>
  <c r="E280" i="13"/>
  <c r="G280" i="13" s="1"/>
  <c r="F279" i="13"/>
  <c r="H279" i="13" s="1"/>
  <c r="E279" i="13"/>
  <c r="G279" i="13" s="1"/>
  <c r="F278" i="13"/>
  <c r="H278" i="13" s="1"/>
  <c r="E278" i="13"/>
  <c r="G278" i="13" s="1"/>
  <c r="F277" i="13"/>
  <c r="H277" i="13" s="1"/>
  <c r="E277" i="13"/>
  <c r="G277" i="13" s="1"/>
  <c r="F276" i="13"/>
  <c r="H276" i="13" s="1"/>
  <c r="E276" i="13"/>
  <c r="G276" i="13" s="1"/>
  <c r="F275" i="13"/>
  <c r="H275" i="13" s="1"/>
  <c r="E275" i="13"/>
  <c r="G275" i="13" s="1"/>
  <c r="F274" i="13"/>
  <c r="H274" i="13" s="1"/>
  <c r="E274" i="13"/>
  <c r="G274" i="13" s="1"/>
  <c r="F273" i="13"/>
  <c r="H273" i="13" s="1"/>
  <c r="E273" i="13"/>
  <c r="G273" i="13" s="1"/>
  <c r="F272" i="13"/>
  <c r="H272" i="13" s="1"/>
  <c r="E272" i="13"/>
  <c r="G272" i="13" s="1"/>
  <c r="F271" i="13"/>
  <c r="H271" i="13" s="1"/>
  <c r="E271" i="13"/>
  <c r="G271" i="13" s="1"/>
  <c r="F270" i="13"/>
  <c r="H270" i="13" s="1"/>
  <c r="E270" i="13"/>
  <c r="G270" i="13" s="1"/>
  <c r="F269" i="13"/>
  <c r="H269" i="13" s="1"/>
  <c r="E269" i="13"/>
  <c r="G269" i="13" s="1"/>
  <c r="F268" i="13"/>
  <c r="H268" i="13" s="1"/>
  <c r="E268" i="13"/>
  <c r="G268" i="13" s="1"/>
  <c r="F267" i="13"/>
  <c r="H267" i="13" s="1"/>
  <c r="E267" i="13"/>
  <c r="G267" i="13" s="1"/>
  <c r="F266" i="13"/>
  <c r="H266" i="13" s="1"/>
  <c r="E266" i="13"/>
  <c r="G266" i="13" s="1"/>
  <c r="F265" i="13"/>
  <c r="H265" i="13" s="1"/>
  <c r="E265" i="13"/>
  <c r="G265" i="13" s="1"/>
  <c r="F264" i="13"/>
  <c r="H264" i="13" s="1"/>
  <c r="E264" i="13"/>
  <c r="G264" i="13" s="1"/>
  <c r="F263" i="13"/>
  <c r="H263" i="13" s="1"/>
  <c r="E263" i="13"/>
  <c r="G263" i="13" s="1"/>
  <c r="F262" i="13"/>
  <c r="H262" i="13" s="1"/>
  <c r="E262" i="13"/>
  <c r="G262" i="13" s="1"/>
  <c r="F261" i="13"/>
  <c r="H261" i="13" s="1"/>
  <c r="E261" i="13"/>
  <c r="G261" i="13" s="1"/>
  <c r="F260" i="13"/>
  <c r="H260" i="13" s="1"/>
  <c r="E260" i="13"/>
  <c r="G260" i="13" s="1"/>
  <c r="F259" i="13"/>
  <c r="H259" i="13" s="1"/>
  <c r="E259" i="13"/>
  <c r="G259" i="13" s="1"/>
  <c r="F258" i="13"/>
  <c r="H258" i="13" s="1"/>
  <c r="E258" i="13"/>
  <c r="G258" i="13" s="1"/>
  <c r="F257" i="13"/>
  <c r="H257" i="13" s="1"/>
  <c r="E257" i="13"/>
  <c r="G257" i="13" s="1"/>
  <c r="F256" i="13"/>
  <c r="H256" i="13" s="1"/>
  <c r="E256" i="13"/>
  <c r="G256" i="13" s="1"/>
  <c r="F255" i="13"/>
  <c r="H255" i="13" s="1"/>
  <c r="E255" i="13"/>
  <c r="G255" i="13" s="1"/>
  <c r="F254" i="13"/>
  <c r="H254" i="13" s="1"/>
  <c r="E254" i="13"/>
  <c r="G254" i="13" s="1"/>
  <c r="F253" i="13"/>
  <c r="H253" i="13" s="1"/>
  <c r="E253" i="13"/>
  <c r="G253" i="13" s="1"/>
  <c r="F252" i="13"/>
  <c r="H252" i="13" s="1"/>
  <c r="E252" i="13"/>
  <c r="G252" i="13" s="1"/>
  <c r="F251" i="13"/>
  <c r="H251" i="13" s="1"/>
  <c r="E251" i="13"/>
  <c r="G251" i="13" s="1"/>
  <c r="F250" i="13"/>
  <c r="H250" i="13" s="1"/>
  <c r="E250" i="13"/>
  <c r="G250" i="13" s="1"/>
  <c r="F249" i="13"/>
  <c r="H249" i="13" s="1"/>
  <c r="E249" i="13"/>
  <c r="G249" i="13" s="1"/>
  <c r="F248" i="13"/>
  <c r="H248" i="13" s="1"/>
  <c r="E248" i="13"/>
  <c r="G248" i="13" s="1"/>
  <c r="F247" i="13"/>
  <c r="H247" i="13" s="1"/>
  <c r="E247" i="13"/>
  <c r="G247" i="13" s="1"/>
  <c r="F246" i="13"/>
  <c r="H246" i="13" s="1"/>
  <c r="E246" i="13"/>
  <c r="G246" i="13" s="1"/>
  <c r="F245" i="13"/>
  <c r="H245" i="13" s="1"/>
  <c r="E245" i="13"/>
  <c r="G245" i="13" s="1"/>
  <c r="F244" i="13"/>
  <c r="H244" i="13" s="1"/>
  <c r="E244" i="13"/>
  <c r="G244" i="13" s="1"/>
  <c r="F243" i="13"/>
  <c r="H243" i="13" s="1"/>
  <c r="E243" i="13"/>
  <c r="G243" i="13" s="1"/>
  <c r="F242" i="13"/>
  <c r="H242" i="13" s="1"/>
  <c r="E242" i="13"/>
  <c r="G242" i="13" s="1"/>
  <c r="F241" i="13"/>
  <c r="H241" i="13" s="1"/>
  <c r="E241" i="13"/>
  <c r="G241" i="13" s="1"/>
  <c r="F240" i="13"/>
  <c r="H240" i="13" s="1"/>
  <c r="E240" i="13"/>
  <c r="G240" i="13" s="1"/>
  <c r="F239" i="13"/>
  <c r="H239" i="13" s="1"/>
  <c r="E239" i="13"/>
  <c r="G239" i="13" s="1"/>
  <c r="F238" i="13"/>
  <c r="H238" i="13" s="1"/>
  <c r="E238" i="13"/>
  <c r="G238" i="13" s="1"/>
  <c r="F237" i="13"/>
  <c r="H237" i="13" s="1"/>
  <c r="E237" i="13"/>
  <c r="G237" i="13" s="1"/>
  <c r="F236" i="13"/>
  <c r="H236" i="13" s="1"/>
  <c r="E236" i="13"/>
  <c r="G236" i="13" s="1"/>
  <c r="F235" i="13"/>
  <c r="H235" i="13" s="1"/>
  <c r="E235" i="13"/>
  <c r="G235" i="13" s="1"/>
  <c r="F234" i="13"/>
  <c r="H234" i="13" s="1"/>
  <c r="E234" i="13"/>
  <c r="G234" i="13" s="1"/>
  <c r="F233" i="13"/>
  <c r="H233" i="13" s="1"/>
  <c r="E233" i="13"/>
  <c r="G233" i="13" s="1"/>
  <c r="F232" i="13"/>
  <c r="H232" i="13" s="1"/>
  <c r="E232" i="13"/>
  <c r="G232" i="13" s="1"/>
  <c r="F231" i="13"/>
  <c r="H231" i="13" s="1"/>
  <c r="E231" i="13"/>
  <c r="G231" i="13" s="1"/>
  <c r="F230" i="13"/>
  <c r="H230" i="13" s="1"/>
  <c r="E230" i="13"/>
  <c r="G230" i="13" s="1"/>
  <c r="F229" i="13"/>
  <c r="H229" i="13" s="1"/>
  <c r="E229" i="13"/>
  <c r="G229" i="13" s="1"/>
  <c r="F228" i="13"/>
  <c r="H228" i="13" s="1"/>
  <c r="E228" i="13"/>
  <c r="G228" i="13" s="1"/>
  <c r="F227" i="13"/>
  <c r="H227" i="13" s="1"/>
  <c r="E227" i="13"/>
  <c r="G227" i="13" s="1"/>
  <c r="F226" i="13"/>
  <c r="H226" i="13" s="1"/>
  <c r="E226" i="13"/>
  <c r="G226" i="13" s="1"/>
  <c r="F225" i="13"/>
  <c r="H225" i="13" s="1"/>
  <c r="E225" i="13"/>
  <c r="G225" i="13" s="1"/>
  <c r="F224" i="13"/>
  <c r="H224" i="13" s="1"/>
  <c r="E224" i="13"/>
  <c r="G224" i="13" s="1"/>
  <c r="F223" i="13"/>
  <c r="H223" i="13" s="1"/>
  <c r="E223" i="13"/>
  <c r="G223" i="13" s="1"/>
  <c r="F222" i="13"/>
  <c r="H222" i="13" s="1"/>
  <c r="E222" i="13"/>
  <c r="G222" i="13" s="1"/>
  <c r="F221" i="13"/>
  <c r="H221" i="13" s="1"/>
  <c r="E221" i="13"/>
  <c r="G221" i="13" s="1"/>
  <c r="F220" i="13"/>
  <c r="H220" i="13" s="1"/>
  <c r="E220" i="13"/>
  <c r="G220" i="13" s="1"/>
  <c r="F219" i="13"/>
  <c r="H219" i="13" s="1"/>
  <c r="E219" i="13"/>
  <c r="G219" i="13" s="1"/>
  <c r="F218" i="13"/>
  <c r="H218" i="13" s="1"/>
  <c r="E218" i="13"/>
  <c r="G218" i="13" s="1"/>
  <c r="F217" i="13"/>
  <c r="H217" i="13" s="1"/>
  <c r="E217" i="13"/>
  <c r="G217" i="13" s="1"/>
  <c r="F216" i="13"/>
  <c r="H216" i="13" s="1"/>
  <c r="E216" i="13"/>
  <c r="G216" i="13" s="1"/>
  <c r="F215" i="13"/>
  <c r="H215" i="13" s="1"/>
  <c r="E215" i="13"/>
  <c r="G215" i="13" s="1"/>
  <c r="F214" i="13"/>
  <c r="H214" i="13" s="1"/>
  <c r="E214" i="13"/>
  <c r="G214" i="13" s="1"/>
  <c r="F213" i="13"/>
  <c r="H213" i="13" s="1"/>
  <c r="E213" i="13"/>
  <c r="G213" i="13" s="1"/>
  <c r="F212" i="13"/>
  <c r="H212" i="13" s="1"/>
  <c r="E212" i="13"/>
  <c r="G212" i="13" s="1"/>
  <c r="F211" i="13"/>
  <c r="H211" i="13" s="1"/>
  <c r="E211" i="13"/>
  <c r="G211" i="13" s="1"/>
  <c r="F210" i="13"/>
  <c r="H210" i="13" s="1"/>
  <c r="E210" i="13"/>
  <c r="G210" i="13" s="1"/>
  <c r="F209" i="13"/>
  <c r="H209" i="13" s="1"/>
  <c r="E209" i="13"/>
  <c r="G209" i="13" s="1"/>
  <c r="F208" i="13"/>
  <c r="H208" i="13" s="1"/>
  <c r="E208" i="13"/>
  <c r="G208" i="13" s="1"/>
  <c r="F207" i="13"/>
  <c r="H207" i="13" s="1"/>
  <c r="E207" i="13"/>
  <c r="G207" i="13" s="1"/>
  <c r="F206" i="13"/>
  <c r="H206" i="13" s="1"/>
  <c r="E206" i="13"/>
  <c r="G206" i="13" s="1"/>
  <c r="F205" i="13"/>
  <c r="H205" i="13" s="1"/>
  <c r="E205" i="13"/>
  <c r="G205" i="13" s="1"/>
  <c r="F204" i="13"/>
  <c r="H204" i="13" s="1"/>
  <c r="E204" i="13"/>
  <c r="G204" i="13" s="1"/>
  <c r="F203" i="13"/>
  <c r="H203" i="13" s="1"/>
  <c r="E203" i="13"/>
  <c r="G203" i="13" s="1"/>
  <c r="F202" i="13"/>
  <c r="H202" i="13" s="1"/>
  <c r="E202" i="13"/>
  <c r="G202" i="13" s="1"/>
  <c r="F201" i="13"/>
  <c r="H201" i="13" s="1"/>
  <c r="E201" i="13"/>
  <c r="G201" i="13" s="1"/>
  <c r="F200" i="13"/>
  <c r="H200" i="13" s="1"/>
  <c r="E200" i="13"/>
  <c r="G200" i="13" s="1"/>
  <c r="F199" i="13"/>
  <c r="H199" i="13" s="1"/>
  <c r="E199" i="13"/>
  <c r="G199" i="13" s="1"/>
  <c r="F198" i="13"/>
  <c r="H198" i="13" s="1"/>
  <c r="E198" i="13"/>
  <c r="G198" i="13" s="1"/>
  <c r="F197" i="13"/>
  <c r="H197" i="13" s="1"/>
  <c r="E197" i="13"/>
  <c r="G197" i="13" s="1"/>
  <c r="F196" i="13"/>
  <c r="H196" i="13" s="1"/>
  <c r="E196" i="13"/>
  <c r="G196" i="13" s="1"/>
  <c r="F195" i="13"/>
  <c r="H195" i="13" s="1"/>
  <c r="E195" i="13"/>
  <c r="G195" i="13" s="1"/>
  <c r="F194" i="13"/>
  <c r="H194" i="13" s="1"/>
  <c r="E194" i="13"/>
  <c r="G194" i="13" s="1"/>
  <c r="F193" i="13"/>
  <c r="H193" i="13" s="1"/>
  <c r="E193" i="13"/>
  <c r="G193" i="13" s="1"/>
  <c r="F192" i="13"/>
  <c r="H192" i="13" s="1"/>
  <c r="E192" i="13"/>
  <c r="G192" i="13" s="1"/>
  <c r="F191" i="13"/>
  <c r="H191" i="13" s="1"/>
  <c r="E191" i="13"/>
  <c r="G191" i="13" s="1"/>
  <c r="F190" i="13"/>
  <c r="H190" i="13" s="1"/>
  <c r="E190" i="13"/>
  <c r="G190" i="13" s="1"/>
  <c r="F189" i="13"/>
  <c r="H189" i="13" s="1"/>
  <c r="E189" i="13"/>
  <c r="G189" i="13" s="1"/>
  <c r="F188" i="13"/>
  <c r="H188" i="13" s="1"/>
  <c r="E188" i="13"/>
  <c r="G188" i="13" s="1"/>
  <c r="F187" i="13"/>
  <c r="H187" i="13" s="1"/>
  <c r="E187" i="13"/>
  <c r="G187" i="13" s="1"/>
  <c r="F186" i="13"/>
  <c r="H186" i="13" s="1"/>
  <c r="E186" i="13"/>
  <c r="G186" i="13" s="1"/>
  <c r="F185" i="13"/>
  <c r="H185" i="13" s="1"/>
  <c r="E185" i="13"/>
  <c r="G185" i="13" s="1"/>
  <c r="F184" i="13"/>
  <c r="H184" i="13" s="1"/>
  <c r="E184" i="13"/>
  <c r="G184" i="13" s="1"/>
  <c r="F183" i="13"/>
  <c r="H183" i="13" s="1"/>
  <c r="E183" i="13"/>
  <c r="G183" i="13" s="1"/>
  <c r="F182" i="13"/>
  <c r="H182" i="13" s="1"/>
  <c r="E182" i="13"/>
  <c r="G182" i="13" s="1"/>
  <c r="F181" i="13"/>
  <c r="H181" i="13" s="1"/>
  <c r="E181" i="13"/>
  <c r="G181" i="13" s="1"/>
  <c r="F180" i="13"/>
  <c r="H180" i="13" s="1"/>
  <c r="E180" i="13"/>
  <c r="G180" i="13" s="1"/>
  <c r="F179" i="13"/>
  <c r="H179" i="13" s="1"/>
  <c r="E179" i="13"/>
  <c r="G179" i="13" s="1"/>
  <c r="F178" i="13"/>
  <c r="H178" i="13" s="1"/>
  <c r="E178" i="13"/>
  <c r="G178" i="13" s="1"/>
  <c r="F177" i="13"/>
  <c r="H177" i="13" s="1"/>
  <c r="E177" i="13"/>
  <c r="G177" i="13" s="1"/>
  <c r="F176" i="13"/>
  <c r="H176" i="13" s="1"/>
  <c r="E176" i="13"/>
  <c r="G176" i="13" s="1"/>
  <c r="F175" i="13"/>
  <c r="H175" i="13" s="1"/>
  <c r="E175" i="13"/>
  <c r="G175" i="13" s="1"/>
  <c r="F174" i="13"/>
  <c r="H174" i="13" s="1"/>
  <c r="E174" i="13"/>
  <c r="G174" i="13" s="1"/>
  <c r="F173" i="13"/>
  <c r="H173" i="13" s="1"/>
  <c r="E173" i="13"/>
  <c r="G173" i="13" s="1"/>
  <c r="F172" i="13"/>
  <c r="H172" i="13" s="1"/>
  <c r="E172" i="13"/>
  <c r="G172" i="13" s="1"/>
  <c r="F171" i="13"/>
  <c r="H171" i="13" s="1"/>
  <c r="E171" i="13"/>
  <c r="G171" i="13" s="1"/>
  <c r="F170" i="13"/>
  <c r="H170" i="13" s="1"/>
  <c r="E170" i="13"/>
  <c r="G170" i="13" s="1"/>
  <c r="F169" i="13"/>
  <c r="H169" i="13" s="1"/>
  <c r="E169" i="13"/>
  <c r="G169" i="13" s="1"/>
  <c r="F168" i="13"/>
  <c r="H168" i="13" s="1"/>
  <c r="E168" i="13"/>
  <c r="G168" i="13" s="1"/>
  <c r="F167" i="13"/>
  <c r="H167" i="13" s="1"/>
  <c r="E167" i="13"/>
  <c r="G167" i="13" s="1"/>
  <c r="F166" i="13"/>
  <c r="H166" i="13" s="1"/>
  <c r="E166" i="13"/>
  <c r="G166" i="13" s="1"/>
  <c r="F165" i="13"/>
  <c r="H165" i="13" s="1"/>
  <c r="E165" i="13"/>
  <c r="G165" i="13" s="1"/>
  <c r="F164" i="13"/>
  <c r="H164" i="13" s="1"/>
  <c r="E164" i="13"/>
  <c r="G164" i="13" s="1"/>
  <c r="F163" i="13"/>
  <c r="H163" i="13" s="1"/>
  <c r="E163" i="13"/>
  <c r="G163" i="13" s="1"/>
  <c r="F162" i="13"/>
  <c r="H162" i="13" s="1"/>
  <c r="E162" i="13"/>
  <c r="G162" i="13" s="1"/>
  <c r="F161" i="13"/>
  <c r="H161" i="13" s="1"/>
  <c r="E161" i="13"/>
  <c r="G161" i="13" s="1"/>
  <c r="F160" i="13"/>
  <c r="H160" i="13" s="1"/>
  <c r="E160" i="13"/>
  <c r="G160" i="13" s="1"/>
  <c r="F159" i="13"/>
  <c r="H159" i="13" s="1"/>
  <c r="E159" i="13"/>
  <c r="G159" i="13" s="1"/>
  <c r="F158" i="13"/>
  <c r="H158" i="13" s="1"/>
  <c r="E158" i="13"/>
  <c r="G158" i="13" s="1"/>
  <c r="F157" i="13"/>
  <c r="H157" i="13" s="1"/>
  <c r="E157" i="13"/>
  <c r="G157" i="13" s="1"/>
  <c r="F156" i="13"/>
  <c r="H156" i="13" s="1"/>
  <c r="E156" i="13"/>
  <c r="G156" i="13" s="1"/>
  <c r="F155" i="13"/>
  <c r="H155" i="13" s="1"/>
  <c r="E155" i="13"/>
  <c r="G155" i="13" s="1"/>
  <c r="F154" i="13"/>
  <c r="H154" i="13" s="1"/>
  <c r="E154" i="13"/>
  <c r="G154" i="13" s="1"/>
  <c r="F153" i="13"/>
  <c r="H153" i="13" s="1"/>
  <c r="E153" i="13"/>
  <c r="G153" i="13" s="1"/>
  <c r="F152" i="13"/>
  <c r="H152" i="13" s="1"/>
  <c r="E152" i="13"/>
  <c r="G152" i="13" s="1"/>
  <c r="F151" i="13"/>
  <c r="H151" i="13" s="1"/>
  <c r="E151" i="13"/>
  <c r="G151" i="13" s="1"/>
  <c r="F150" i="13"/>
  <c r="H150" i="13" s="1"/>
  <c r="E150" i="13"/>
  <c r="G150" i="13" s="1"/>
  <c r="F149" i="13"/>
  <c r="H149" i="13" s="1"/>
  <c r="E149" i="13"/>
  <c r="G149" i="13" s="1"/>
  <c r="F148" i="13"/>
  <c r="H148" i="13" s="1"/>
  <c r="E148" i="13"/>
  <c r="G148" i="13" s="1"/>
  <c r="F147" i="13"/>
  <c r="H147" i="13" s="1"/>
  <c r="E147" i="13"/>
  <c r="G147" i="13" s="1"/>
  <c r="F146" i="13"/>
  <c r="H146" i="13" s="1"/>
  <c r="E146" i="13"/>
  <c r="G146" i="13" s="1"/>
  <c r="F145" i="13"/>
  <c r="H145" i="13" s="1"/>
  <c r="E145" i="13"/>
  <c r="G145" i="13" s="1"/>
  <c r="F144" i="13"/>
  <c r="H144" i="13" s="1"/>
  <c r="E144" i="13"/>
  <c r="G144" i="13" s="1"/>
  <c r="F143" i="13"/>
  <c r="H143" i="13" s="1"/>
  <c r="E143" i="13"/>
  <c r="G143" i="13" s="1"/>
  <c r="F142" i="13"/>
  <c r="H142" i="13" s="1"/>
  <c r="E142" i="13"/>
  <c r="G142" i="13" s="1"/>
  <c r="F141" i="13"/>
  <c r="H141" i="13" s="1"/>
  <c r="E141" i="13"/>
  <c r="G141" i="13" s="1"/>
  <c r="F140" i="13"/>
  <c r="H140" i="13" s="1"/>
  <c r="E140" i="13"/>
  <c r="G140" i="13" s="1"/>
  <c r="F139" i="13"/>
  <c r="H139" i="13" s="1"/>
  <c r="E139" i="13"/>
  <c r="G139" i="13" s="1"/>
  <c r="F138" i="13"/>
  <c r="H138" i="13" s="1"/>
  <c r="E138" i="13"/>
  <c r="G138" i="13" s="1"/>
  <c r="F137" i="13"/>
  <c r="H137" i="13" s="1"/>
  <c r="E137" i="13"/>
  <c r="G137" i="13" s="1"/>
  <c r="F136" i="13"/>
  <c r="H136" i="13" s="1"/>
  <c r="E136" i="13"/>
  <c r="G136" i="13" s="1"/>
  <c r="F135" i="13"/>
  <c r="H135" i="13" s="1"/>
  <c r="E135" i="13"/>
  <c r="G135" i="13" s="1"/>
  <c r="F134" i="13"/>
  <c r="H134" i="13" s="1"/>
  <c r="E134" i="13"/>
  <c r="G134" i="13" s="1"/>
  <c r="F133" i="13"/>
  <c r="H133" i="13" s="1"/>
  <c r="E133" i="13"/>
  <c r="G133" i="13" s="1"/>
  <c r="F132" i="13"/>
  <c r="H132" i="13" s="1"/>
  <c r="E132" i="13"/>
  <c r="G132" i="13" s="1"/>
  <c r="F131" i="13"/>
  <c r="H131" i="13" s="1"/>
  <c r="E131" i="13"/>
  <c r="G131" i="13" s="1"/>
  <c r="F130" i="13"/>
  <c r="H130" i="13" s="1"/>
  <c r="E130" i="13"/>
  <c r="G130" i="13" s="1"/>
  <c r="F129" i="13"/>
  <c r="H129" i="13" s="1"/>
  <c r="E129" i="13"/>
  <c r="G129" i="13" s="1"/>
  <c r="F128" i="13"/>
  <c r="H128" i="13" s="1"/>
  <c r="E128" i="13"/>
  <c r="G128" i="13" s="1"/>
  <c r="F127" i="13"/>
  <c r="H127" i="13" s="1"/>
  <c r="E127" i="13"/>
  <c r="G127" i="13" s="1"/>
  <c r="F126" i="13"/>
  <c r="H126" i="13" s="1"/>
  <c r="E126" i="13"/>
  <c r="G126" i="13" s="1"/>
  <c r="F125" i="13"/>
  <c r="H125" i="13" s="1"/>
  <c r="E125" i="13"/>
  <c r="G125" i="13" s="1"/>
  <c r="F124" i="13"/>
  <c r="H124" i="13" s="1"/>
  <c r="E124" i="13"/>
  <c r="G124" i="13" s="1"/>
  <c r="F123" i="13"/>
  <c r="H123" i="13" s="1"/>
  <c r="E123" i="13"/>
  <c r="G123" i="13" s="1"/>
  <c r="F122" i="13"/>
  <c r="H122" i="13" s="1"/>
  <c r="E122" i="13"/>
  <c r="G122" i="13" s="1"/>
  <c r="F121" i="13"/>
  <c r="H121" i="13" s="1"/>
  <c r="E121" i="13"/>
  <c r="G121" i="13" s="1"/>
  <c r="F120" i="13"/>
  <c r="H120" i="13" s="1"/>
  <c r="E120" i="13"/>
  <c r="G120" i="13" s="1"/>
  <c r="F119" i="13"/>
  <c r="H119" i="13" s="1"/>
  <c r="E119" i="13"/>
  <c r="G119" i="13" s="1"/>
  <c r="F118" i="13"/>
  <c r="H118" i="13" s="1"/>
  <c r="E118" i="13"/>
  <c r="G118" i="13" s="1"/>
  <c r="F117" i="13"/>
  <c r="H117" i="13" s="1"/>
  <c r="E117" i="13"/>
  <c r="G117" i="13" s="1"/>
  <c r="F116" i="13"/>
  <c r="H116" i="13" s="1"/>
  <c r="E116" i="13"/>
  <c r="G116" i="13" s="1"/>
  <c r="F115" i="13"/>
  <c r="H115" i="13" s="1"/>
  <c r="E115" i="13"/>
  <c r="G115" i="13" s="1"/>
  <c r="F114" i="13"/>
  <c r="H114" i="13" s="1"/>
  <c r="E114" i="13"/>
  <c r="G114" i="13" s="1"/>
  <c r="F113" i="13"/>
  <c r="H113" i="13" s="1"/>
  <c r="E113" i="13"/>
  <c r="G113" i="13" s="1"/>
  <c r="F112" i="13"/>
  <c r="H112" i="13" s="1"/>
  <c r="E112" i="13"/>
  <c r="G112" i="13" s="1"/>
  <c r="F111" i="13"/>
  <c r="H111" i="13" s="1"/>
  <c r="E111" i="13"/>
  <c r="G111" i="13" s="1"/>
  <c r="F110" i="13"/>
  <c r="H110" i="13" s="1"/>
  <c r="E110" i="13"/>
  <c r="G110" i="13" s="1"/>
  <c r="F109" i="13"/>
  <c r="H109" i="13" s="1"/>
  <c r="E109" i="13"/>
  <c r="G109" i="13" s="1"/>
  <c r="F108" i="13"/>
  <c r="H108" i="13" s="1"/>
  <c r="E108" i="13"/>
  <c r="G108" i="13" s="1"/>
  <c r="F107" i="13"/>
  <c r="H107" i="13" s="1"/>
  <c r="E107" i="13"/>
  <c r="G107" i="13" s="1"/>
  <c r="F106" i="13"/>
  <c r="H106" i="13" s="1"/>
  <c r="E106" i="13"/>
  <c r="G106" i="13" s="1"/>
  <c r="F105" i="13"/>
  <c r="H105" i="13" s="1"/>
  <c r="E105" i="13"/>
  <c r="G105" i="13" s="1"/>
  <c r="F104" i="13"/>
  <c r="H104" i="13" s="1"/>
  <c r="E104" i="13"/>
  <c r="G104" i="13" s="1"/>
  <c r="F103" i="13"/>
  <c r="H103" i="13" s="1"/>
  <c r="E103" i="13"/>
  <c r="G103" i="13" s="1"/>
  <c r="F102" i="13"/>
  <c r="H102" i="13" s="1"/>
  <c r="E102" i="13"/>
  <c r="G102" i="13" s="1"/>
  <c r="F101" i="13"/>
  <c r="H101" i="13" s="1"/>
  <c r="E101" i="13"/>
  <c r="G101" i="13" s="1"/>
  <c r="F100" i="13"/>
  <c r="H100" i="13" s="1"/>
  <c r="E100" i="13"/>
  <c r="G100" i="13" s="1"/>
  <c r="F99" i="13"/>
  <c r="H99" i="13" s="1"/>
  <c r="E99" i="13"/>
  <c r="G99" i="13" s="1"/>
  <c r="F98" i="13"/>
  <c r="H98" i="13" s="1"/>
  <c r="E98" i="13"/>
  <c r="G98" i="13" s="1"/>
  <c r="F97" i="13"/>
  <c r="H97" i="13" s="1"/>
  <c r="E97" i="13"/>
  <c r="G97" i="13" s="1"/>
  <c r="F96" i="13"/>
  <c r="H96" i="13" s="1"/>
  <c r="E96" i="13"/>
  <c r="G96" i="13" s="1"/>
  <c r="F95" i="13"/>
  <c r="H95" i="13" s="1"/>
  <c r="E95" i="13"/>
  <c r="G95" i="13" s="1"/>
  <c r="F94" i="13"/>
  <c r="H94" i="13" s="1"/>
  <c r="E94" i="13"/>
  <c r="G94" i="13" s="1"/>
  <c r="F93" i="13"/>
  <c r="H93" i="13" s="1"/>
  <c r="E93" i="13"/>
  <c r="G93" i="13" s="1"/>
  <c r="F92" i="13"/>
  <c r="H92" i="13" s="1"/>
  <c r="E92" i="13"/>
  <c r="G92" i="13" s="1"/>
  <c r="F91" i="13"/>
  <c r="H91" i="13" s="1"/>
  <c r="E91" i="13"/>
  <c r="G91" i="13" s="1"/>
  <c r="F90" i="13"/>
  <c r="H90" i="13" s="1"/>
  <c r="E90" i="13"/>
  <c r="G90" i="13" s="1"/>
  <c r="F89" i="13"/>
  <c r="H89" i="13" s="1"/>
  <c r="E89" i="13"/>
  <c r="G89" i="13" s="1"/>
  <c r="F88" i="13"/>
  <c r="H88" i="13" s="1"/>
  <c r="E88" i="13"/>
  <c r="G88" i="13" s="1"/>
  <c r="F87" i="13"/>
  <c r="H87" i="13" s="1"/>
  <c r="E87" i="13"/>
  <c r="G87" i="13" s="1"/>
  <c r="F86" i="13"/>
  <c r="H86" i="13" s="1"/>
  <c r="E86" i="13"/>
  <c r="G86" i="13" s="1"/>
  <c r="F85" i="13"/>
  <c r="H85" i="13" s="1"/>
  <c r="E85" i="13"/>
  <c r="G85" i="13" s="1"/>
  <c r="F84" i="13"/>
  <c r="H84" i="13" s="1"/>
  <c r="E84" i="13"/>
  <c r="G84" i="13" s="1"/>
  <c r="F83" i="13"/>
  <c r="H83" i="13" s="1"/>
  <c r="E83" i="13"/>
  <c r="G83" i="13" s="1"/>
  <c r="F82" i="13"/>
  <c r="H82" i="13" s="1"/>
  <c r="E82" i="13"/>
  <c r="G82" i="13" s="1"/>
  <c r="F81" i="13"/>
  <c r="H81" i="13" s="1"/>
  <c r="E81" i="13"/>
  <c r="G81" i="13" s="1"/>
  <c r="F80" i="13"/>
  <c r="H80" i="13" s="1"/>
  <c r="E80" i="13"/>
  <c r="G80" i="13" s="1"/>
  <c r="F79" i="13"/>
  <c r="H79" i="13" s="1"/>
  <c r="E79" i="13"/>
  <c r="G79" i="13" s="1"/>
  <c r="F78" i="13"/>
  <c r="H78" i="13" s="1"/>
  <c r="E78" i="13"/>
  <c r="G78" i="13" s="1"/>
  <c r="F77" i="13"/>
  <c r="H77" i="13" s="1"/>
  <c r="E77" i="13"/>
  <c r="G77" i="13" s="1"/>
  <c r="F76" i="13"/>
  <c r="H76" i="13" s="1"/>
  <c r="E76" i="13"/>
  <c r="G76" i="13" s="1"/>
  <c r="F75" i="13"/>
  <c r="H75" i="13" s="1"/>
  <c r="E75" i="13"/>
  <c r="G75" i="13" s="1"/>
  <c r="F74" i="13"/>
  <c r="H74" i="13" s="1"/>
  <c r="E74" i="13"/>
  <c r="G74" i="13" s="1"/>
  <c r="F73" i="13"/>
  <c r="H73" i="13" s="1"/>
  <c r="E73" i="13"/>
  <c r="G73" i="13" s="1"/>
  <c r="F72" i="13"/>
  <c r="H72" i="13" s="1"/>
  <c r="E72" i="13"/>
  <c r="G72" i="13" s="1"/>
  <c r="F71" i="13"/>
  <c r="H71" i="13" s="1"/>
  <c r="E71" i="13"/>
  <c r="G71" i="13" s="1"/>
  <c r="F70" i="13"/>
  <c r="H70" i="13" s="1"/>
  <c r="E70" i="13"/>
  <c r="G70" i="13" s="1"/>
  <c r="F69" i="13"/>
  <c r="H69" i="13" s="1"/>
  <c r="E69" i="13"/>
  <c r="G69" i="13" s="1"/>
  <c r="F68" i="13"/>
  <c r="H68" i="13" s="1"/>
  <c r="E68" i="13"/>
  <c r="G68" i="13" s="1"/>
  <c r="F67" i="13"/>
  <c r="H67" i="13" s="1"/>
  <c r="E67" i="13"/>
  <c r="G67" i="13" s="1"/>
  <c r="F66" i="13"/>
  <c r="H66" i="13" s="1"/>
  <c r="E66" i="13"/>
  <c r="G66" i="13" s="1"/>
  <c r="F65" i="13"/>
  <c r="H65" i="13" s="1"/>
  <c r="E65" i="13"/>
  <c r="G65" i="13" s="1"/>
  <c r="F64" i="13"/>
  <c r="H64" i="13" s="1"/>
  <c r="E64" i="13"/>
  <c r="G64" i="13" s="1"/>
  <c r="F63" i="13"/>
  <c r="H63" i="13" s="1"/>
  <c r="E63" i="13"/>
  <c r="G63" i="13" s="1"/>
  <c r="F62" i="13"/>
  <c r="H62" i="13" s="1"/>
  <c r="E62" i="13"/>
  <c r="G62" i="13" s="1"/>
  <c r="F61" i="13"/>
  <c r="H61" i="13" s="1"/>
  <c r="E61" i="13"/>
  <c r="G61" i="13" s="1"/>
  <c r="F60" i="13"/>
  <c r="H60" i="13" s="1"/>
  <c r="E60" i="13"/>
  <c r="G60" i="13" s="1"/>
  <c r="F59" i="13"/>
  <c r="H59" i="13" s="1"/>
  <c r="E59" i="13"/>
  <c r="G59" i="13" s="1"/>
  <c r="F58" i="13"/>
  <c r="H58" i="13" s="1"/>
  <c r="E58" i="13"/>
  <c r="G58" i="13" s="1"/>
  <c r="F57" i="13"/>
  <c r="H57" i="13" s="1"/>
  <c r="E57" i="13"/>
  <c r="G57" i="13" s="1"/>
  <c r="F56" i="13"/>
  <c r="H56" i="13" s="1"/>
  <c r="E56" i="13"/>
  <c r="G56" i="13" s="1"/>
  <c r="F55" i="13"/>
  <c r="H55" i="13" s="1"/>
  <c r="E55" i="13"/>
  <c r="G55" i="13" s="1"/>
  <c r="F54" i="13"/>
  <c r="H54" i="13" s="1"/>
  <c r="E54" i="13"/>
  <c r="G54" i="13" s="1"/>
  <c r="F53" i="13"/>
  <c r="H53" i="13" s="1"/>
  <c r="E53" i="13"/>
  <c r="G53" i="13" s="1"/>
  <c r="F52" i="13"/>
  <c r="H52" i="13" s="1"/>
  <c r="E52" i="13"/>
  <c r="G52" i="13" s="1"/>
  <c r="F51" i="13"/>
  <c r="H51" i="13" s="1"/>
  <c r="E51" i="13"/>
  <c r="G51" i="13" s="1"/>
  <c r="F50" i="13"/>
  <c r="H50" i="13" s="1"/>
  <c r="E50" i="13"/>
  <c r="G50" i="13" s="1"/>
  <c r="F49" i="13"/>
  <c r="H49" i="13" s="1"/>
  <c r="E49" i="13"/>
  <c r="G49" i="13" s="1"/>
  <c r="F48" i="13"/>
  <c r="H48" i="13" s="1"/>
  <c r="E48" i="13"/>
  <c r="G48" i="13" s="1"/>
  <c r="F47" i="13"/>
  <c r="H47" i="13" s="1"/>
  <c r="E47" i="13"/>
  <c r="G47" i="13" s="1"/>
  <c r="F46" i="13"/>
  <c r="H46" i="13" s="1"/>
  <c r="E46" i="13"/>
  <c r="G46" i="13" s="1"/>
  <c r="F45" i="13"/>
  <c r="H45" i="13" s="1"/>
  <c r="E45" i="13"/>
  <c r="G45" i="13" s="1"/>
  <c r="F44" i="13"/>
  <c r="H44" i="13" s="1"/>
  <c r="E44" i="13"/>
  <c r="G44" i="13" s="1"/>
  <c r="F43" i="13"/>
  <c r="H43" i="13" s="1"/>
  <c r="E43" i="13"/>
  <c r="G43" i="13" s="1"/>
  <c r="F42" i="13"/>
  <c r="H42" i="13" s="1"/>
  <c r="E42" i="13"/>
  <c r="G42" i="13" s="1"/>
  <c r="F41" i="13"/>
  <c r="H41" i="13" s="1"/>
  <c r="E41" i="13"/>
  <c r="G41" i="13" s="1"/>
  <c r="F40" i="13"/>
  <c r="H40" i="13" s="1"/>
  <c r="E40" i="13"/>
  <c r="G40" i="13" s="1"/>
  <c r="F39" i="13"/>
  <c r="H39" i="13" s="1"/>
  <c r="E39" i="13"/>
  <c r="G39" i="13" s="1"/>
  <c r="F38" i="13"/>
  <c r="H38" i="13" s="1"/>
  <c r="E38" i="13"/>
  <c r="G38" i="13" s="1"/>
  <c r="F37" i="13"/>
  <c r="H37" i="13" s="1"/>
  <c r="E37" i="13"/>
  <c r="G37" i="13" s="1"/>
  <c r="F36" i="13"/>
  <c r="H36" i="13" s="1"/>
  <c r="E36" i="13"/>
  <c r="G36" i="13" s="1"/>
  <c r="F35" i="13"/>
  <c r="H35" i="13" s="1"/>
  <c r="E35" i="13"/>
  <c r="G35" i="13" s="1"/>
  <c r="F34" i="13"/>
  <c r="H34" i="13" s="1"/>
  <c r="E34" i="13"/>
  <c r="G34" i="13" s="1"/>
  <c r="F33" i="13"/>
  <c r="H33" i="13" s="1"/>
  <c r="E33" i="13"/>
  <c r="G33" i="13" s="1"/>
  <c r="F32" i="13"/>
  <c r="H32" i="13" s="1"/>
  <c r="E32" i="13"/>
  <c r="G32" i="13" s="1"/>
  <c r="F31" i="13"/>
  <c r="H31" i="13" s="1"/>
  <c r="E31" i="13"/>
  <c r="G31" i="13" s="1"/>
  <c r="F30" i="13"/>
  <c r="H30" i="13" s="1"/>
  <c r="E30" i="13"/>
  <c r="G30" i="13" s="1"/>
  <c r="F29" i="13"/>
  <c r="H29" i="13" s="1"/>
  <c r="E29" i="13"/>
  <c r="G29" i="13" s="1"/>
  <c r="F28" i="13"/>
  <c r="H28" i="13" s="1"/>
  <c r="E28" i="13"/>
  <c r="G28" i="13" s="1"/>
  <c r="F27" i="13"/>
  <c r="H27" i="13" s="1"/>
  <c r="E27" i="13"/>
  <c r="G27" i="13" s="1"/>
  <c r="F26" i="13"/>
  <c r="H26" i="13" s="1"/>
  <c r="E26" i="13"/>
  <c r="G26" i="13" s="1"/>
  <c r="F25" i="13"/>
  <c r="H25" i="13" s="1"/>
  <c r="E25" i="13"/>
  <c r="G25" i="13" s="1"/>
  <c r="F24" i="13"/>
  <c r="H24" i="13" s="1"/>
  <c r="E24" i="13"/>
  <c r="G24" i="13" s="1"/>
  <c r="F23" i="13"/>
  <c r="H23" i="13" s="1"/>
  <c r="E23" i="13"/>
  <c r="G23" i="13" s="1"/>
  <c r="F22" i="13"/>
  <c r="H22" i="13" s="1"/>
  <c r="E22" i="13"/>
  <c r="G22" i="13" s="1"/>
  <c r="F21" i="13"/>
  <c r="H21" i="13" s="1"/>
  <c r="E21" i="13"/>
  <c r="G21" i="13" s="1"/>
  <c r="F20" i="13"/>
  <c r="H20" i="13" s="1"/>
  <c r="E20" i="13"/>
  <c r="G20" i="13" s="1"/>
  <c r="F19" i="13"/>
  <c r="H19" i="13" s="1"/>
  <c r="E19" i="13"/>
  <c r="G19" i="13" s="1"/>
  <c r="F18" i="13"/>
  <c r="H18" i="13" s="1"/>
  <c r="E18" i="13"/>
  <c r="G18" i="13" s="1"/>
  <c r="F17" i="13"/>
  <c r="H17" i="13" s="1"/>
  <c r="E17" i="13"/>
  <c r="G17" i="13" s="1"/>
  <c r="F16" i="13"/>
  <c r="H16" i="13" s="1"/>
  <c r="E16" i="13"/>
  <c r="G16" i="13" s="1"/>
  <c r="F15" i="13"/>
  <c r="H15" i="13" s="1"/>
  <c r="E15" i="13"/>
  <c r="G15" i="13" s="1"/>
  <c r="F14" i="13"/>
  <c r="H14" i="13" s="1"/>
  <c r="E14" i="13"/>
  <c r="G14" i="13" s="1"/>
  <c r="F13" i="13"/>
  <c r="H13" i="13" s="1"/>
  <c r="E13" i="13"/>
  <c r="G13" i="13" s="1"/>
  <c r="F12" i="13"/>
  <c r="H12" i="13" s="1"/>
  <c r="E12" i="13"/>
  <c r="G12" i="13" s="1"/>
  <c r="F11" i="13"/>
  <c r="H11" i="13" s="1"/>
  <c r="E11" i="13"/>
  <c r="G11" i="13" s="1"/>
  <c r="F9" i="1"/>
  <c r="G9" i="1"/>
  <c r="F38" i="14" l="1"/>
  <c r="H37" i="14" s="1"/>
  <c r="C19" i="14"/>
  <c r="J19" i="14"/>
  <c r="D11" i="16"/>
  <c r="D10" i="16"/>
  <c r="C11" i="16"/>
  <c r="C15" i="16" s="1"/>
  <c r="C26" i="16" s="1"/>
  <c r="C29" i="17"/>
  <c r="C30" i="17" s="1"/>
  <c r="C32" i="17" s="1"/>
  <c r="I58" i="13"/>
  <c r="I62" i="13"/>
  <c r="I68" i="13"/>
  <c r="I70" i="13"/>
  <c r="I92" i="13"/>
  <c r="I98" i="13"/>
  <c r="I124" i="13"/>
  <c r="I126" i="13"/>
  <c r="I206" i="13"/>
  <c r="I97" i="13"/>
  <c r="I210" i="13"/>
  <c r="I212" i="13"/>
  <c r="B37" i="14"/>
  <c r="I57" i="13"/>
  <c r="B31" i="14"/>
  <c r="B32" i="14" s="1"/>
  <c r="B34" i="14" s="1"/>
  <c r="I242" i="13"/>
  <c r="I38" i="13"/>
  <c r="I208" i="13"/>
  <c r="I309" i="13"/>
  <c r="I136" i="13"/>
  <c r="I194" i="13"/>
  <c r="I196" i="13"/>
  <c r="I23" i="13"/>
  <c r="I55" i="13"/>
  <c r="I110" i="13"/>
  <c r="I129" i="13"/>
  <c r="I350" i="13"/>
  <c r="I382" i="13"/>
  <c r="I414" i="13"/>
  <c r="I22" i="13"/>
  <c r="I134" i="13"/>
  <c r="I143" i="13"/>
  <c r="I270" i="13"/>
  <c r="I272" i="13"/>
  <c r="I280" i="13"/>
  <c r="I334" i="13"/>
  <c r="I366" i="13"/>
  <c r="I398" i="13"/>
  <c r="I39" i="13"/>
  <c r="I49" i="13"/>
  <c r="I76" i="13"/>
  <c r="I81" i="13"/>
  <c r="I102" i="13"/>
  <c r="I108" i="13"/>
  <c r="I113" i="13"/>
  <c r="I239" i="13"/>
  <c r="I259" i="13"/>
  <c r="I326" i="13"/>
  <c r="I419" i="13"/>
  <c r="I216" i="13"/>
  <c r="I318" i="13"/>
  <c r="I342" i="13"/>
  <c r="I358" i="13"/>
  <c r="I374" i="13"/>
  <c r="I390" i="13"/>
  <c r="I406" i="13"/>
  <c r="I12" i="13"/>
  <c r="I41" i="13"/>
  <c r="I54" i="13"/>
  <c r="I73" i="13"/>
  <c r="I75" i="13"/>
  <c r="I89" i="13"/>
  <c r="I95" i="13"/>
  <c r="I191" i="13"/>
  <c r="I251" i="13"/>
  <c r="I277" i="13"/>
  <c r="I300" i="13"/>
  <c r="I302" i="13"/>
  <c r="I308" i="13"/>
  <c r="I13" i="7"/>
  <c r="I15" i="7" s="1"/>
  <c r="J15" i="7" s="1"/>
  <c r="I111" i="13"/>
  <c r="I132" i="13"/>
  <c r="I14" i="13"/>
  <c r="I26" i="13"/>
  <c r="I30" i="13"/>
  <c r="I36" i="13"/>
  <c r="I47" i="13"/>
  <c r="I127" i="13"/>
  <c r="I204" i="13"/>
  <c r="I220" i="13"/>
  <c r="I227" i="13"/>
  <c r="I235" i="13"/>
  <c r="I244" i="13"/>
  <c r="I266" i="13"/>
  <c r="I274" i="13"/>
  <c r="I276" i="13"/>
  <c r="I301" i="13"/>
  <c r="I416" i="13"/>
  <c r="I78" i="13"/>
  <c r="I94" i="13"/>
  <c r="I139" i="13"/>
  <c r="I147" i="13"/>
  <c r="I150" i="13"/>
  <c r="I190" i="13"/>
  <c r="I207" i="13"/>
  <c r="I238" i="13"/>
  <c r="I252" i="13"/>
  <c r="I267" i="13"/>
  <c r="I278" i="13"/>
  <c r="I279" i="13"/>
  <c r="I282" i="13"/>
  <c r="I286" i="13"/>
  <c r="I292" i="13"/>
  <c r="I294" i="13"/>
  <c r="I311" i="13"/>
  <c r="I316" i="13"/>
  <c r="I319" i="13"/>
  <c r="I324" i="13"/>
  <c r="I327" i="13"/>
  <c r="I332" i="13"/>
  <c r="I335" i="13"/>
  <c r="I340" i="13"/>
  <c r="I343" i="13"/>
  <c r="I348" i="13"/>
  <c r="I351" i="13"/>
  <c r="I356" i="13"/>
  <c r="I359" i="13"/>
  <c r="I364" i="13"/>
  <c r="I367" i="13"/>
  <c r="I372" i="13"/>
  <c r="I375" i="13"/>
  <c r="I380" i="13"/>
  <c r="I383" i="13"/>
  <c r="I388" i="13"/>
  <c r="I391" i="13"/>
  <c r="I404" i="13"/>
  <c r="I412" i="13"/>
  <c r="I418" i="13"/>
  <c r="I240" i="13"/>
  <c r="I15" i="13"/>
  <c r="I25" i="13"/>
  <c r="I31" i="13"/>
  <c r="I33" i="13"/>
  <c r="I42" i="13"/>
  <c r="I46" i="13"/>
  <c r="I52" i="13"/>
  <c r="I63" i="13"/>
  <c r="I65" i="13"/>
  <c r="I79" i="13"/>
  <c r="I84" i="13"/>
  <c r="I100" i="13"/>
  <c r="I105" i="13"/>
  <c r="I114" i="13"/>
  <c r="I118" i="13"/>
  <c r="I121" i="13"/>
  <c r="I123" i="13"/>
  <c r="I138" i="13"/>
  <c r="I142" i="13"/>
  <c r="I203" i="13"/>
  <c r="I219" i="13"/>
  <c r="I228" i="13"/>
  <c r="I236" i="13"/>
  <c r="I262" i="13"/>
  <c r="I264" i="13"/>
  <c r="I285" i="13"/>
  <c r="I293" i="13"/>
  <c r="I312" i="13"/>
  <c r="I315" i="13"/>
  <c r="I320" i="13"/>
  <c r="I323" i="13"/>
  <c r="I328" i="13"/>
  <c r="I331" i="13"/>
  <c r="I336" i="13"/>
  <c r="I339" i="13"/>
  <c r="I344" i="13"/>
  <c r="I347" i="13"/>
  <c r="I352" i="13"/>
  <c r="I355" i="13"/>
  <c r="I360" i="13"/>
  <c r="I363" i="13"/>
  <c r="I368" i="13"/>
  <c r="I371" i="13"/>
  <c r="I376" i="13"/>
  <c r="I379" i="13"/>
  <c r="I384" i="13"/>
  <c r="I387" i="13"/>
  <c r="I392" i="13"/>
  <c r="I395" i="13"/>
  <c r="I400" i="13"/>
  <c r="I403" i="13"/>
  <c r="I408" i="13"/>
  <c r="I411" i="13"/>
  <c r="I97" i="12"/>
  <c r="I79" i="12"/>
  <c r="I66" i="12"/>
  <c r="I33" i="12"/>
  <c r="I27" i="12"/>
  <c r="I24" i="12"/>
  <c r="F13" i="1"/>
  <c r="F26" i="1" s="1"/>
  <c r="G13" i="1"/>
  <c r="G26" i="1" s="1"/>
  <c r="G1" i="1" s="1"/>
  <c r="I19" i="13"/>
  <c r="I35" i="13"/>
  <c r="I51" i="13"/>
  <c r="I67" i="13"/>
  <c r="I87" i="13"/>
  <c r="I17" i="13"/>
  <c r="I20" i="13"/>
  <c r="I71" i="13"/>
  <c r="I11" i="13"/>
  <c r="I18" i="13"/>
  <c r="I27" i="13"/>
  <c r="I34" i="13"/>
  <c r="I43" i="13"/>
  <c r="I50" i="13"/>
  <c r="I59" i="13"/>
  <c r="I66" i="13"/>
  <c r="I82" i="13"/>
  <c r="I86" i="13"/>
  <c r="I107" i="13"/>
  <c r="I119" i="13"/>
  <c r="I131" i="13"/>
  <c r="I141" i="13"/>
  <c r="I148" i="13"/>
  <c r="I28" i="13"/>
  <c r="I44" i="13"/>
  <c r="I60" i="13"/>
  <c r="I91" i="13"/>
  <c r="I103" i="13"/>
  <c r="I116" i="13"/>
  <c r="I144" i="13"/>
  <c r="I152" i="13"/>
  <c r="I154" i="13"/>
  <c r="I156" i="13"/>
  <c r="I158" i="13"/>
  <c r="I160" i="13"/>
  <c r="I162" i="13"/>
  <c r="I164" i="13"/>
  <c r="I166" i="13"/>
  <c r="I168" i="13"/>
  <c r="I170" i="13"/>
  <c r="I172" i="13"/>
  <c r="I174" i="13"/>
  <c r="I176" i="13"/>
  <c r="I180" i="13"/>
  <c r="I182" i="13"/>
  <c r="I184" i="13"/>
  <c r="I186" i="13"/>
  <c r="I188" i="13"/>
  <c r="I192" i="13"/>
  <c r="I195" i="13"/>
  <c r="I199" i="13"/>
  <c r="I200" i="13"/>
  <c r="I214" i="13"/>
  <c r="I218" i="13"/>
  <c r="I226" i="13"/>
  <c r="I231" i="13"/>
  <c r="I232" i="13"/>
  <c r="I250" i="13"/>
  <c r="I255" i="13"/>
  <c r="I256" i="13"/>
  <c r="I268" i="13"/>
  <c r="I260" i="13"/>
  <c r="I417" i="13"/>
  <c r="I74" i="13"/>
  <c r="I83" i="13"/>
  <c r="I90" i="13"/>
  <c r="I99" i="13"/>
  <c r="I106" i="13"/>
  <c r="I115" i="13"/>
  <c r="I122" i="13"/>
  <c r="I151" i="13"/>
  <c r="I198" i="13"/>
  <c r="I202" i="13"/>
  <c r="I211" i="13"/>
  <c r="I215" i="13"/>
  <c r="I222" i="13"/>
  <c r="I224" i="13"/>
  <c r="I246" i="13"/>
  <c r="I248" i="13"/>
  <c r="I284" i="13"/>
  <c r="I290" i="13"/>
  <c r="I298" i="13"/>
  <c r="I314" i="13"/>
  <c r="I322" i="13"/>
  <c r="I330" i="13"/>
  <c r="I338" i="13"/>
  <c r="I346" i="13"/>
  <c r="I354" i="13"/>
  <c r="I362" i="13"/>
  <c r="I370" i="13"/>
  <c r="I378" i="13"/>
  <c r="I386" i="13"/>
  <c r="I394" i="13"/>
  <c r="I402" i="13"/>
  <c r="I410" i="13"/>
  <c r="I178" i="13"/>
  <c r="I306" i="13"/>
  <c r="I396" i="13"/>
  <c r="I405" i="13"/>
  <c r="I409" i="13"/>
  <c r="I420" i="13"/>
  <c r="I223" i="13"/>
  <c r="I230" i="13"/>
  <c r="I234" i="13"/>
  <c r="I243" i="13"/>
  <c r="I247" i="13"/>
  <c r="I254" i="13"/>
  <c r="I258" i="13"/>
  <c r="I263" i="13"/>
  <c r="I288" i="13"/>
  <c r="I297" i="13"/>
  <c r="I304" i="13"/>
  <c r="I413" i="13"/>
  <c r="I415" i="13"/>
  <c r="E407" i="12"/>
  <c r="G407" i="12" s="1"/>
  <c r="I407" i="12" s="1"/>
  <c r="E55" i="12"/>
  <c r="G55" i="12" s="1"/>
  <c r="I55" i="12" s="1"/>
  <c r="E229" i="12"/>
  <c r="G229" i="12" s="1"/>
  <c r="I229" i="12" s="1"/>
  <c r="E345" i="12"/>
  <c r="G345" i="12" s="1"/>
  <c r="I345" i="12" s="1"/>
  <c r="E187" i="12"/>
  <c r="G187" i="12" s="1"/>
  <c r="I187" i="12" s="1"/>
  <c r="E395" i="12"/>
  <c r="G395" i="12" s="1"/>
  <c r="I395" i="12" s="1"/>
  <c r="E391" i="12"/>
  <c r="G391" i="12" s="1"/>
  <c r="I391" i="12" s="1"/>
  <c r="E350" i="12"/>
  <c r="G350" i="12" s="1"/>
  <c r="I350" i="12" s="1"/>
  <c r="E240" i="12"/>
  <c r="G240" i="12" s="1"/>
  <c r="I240" i="12" s="1"/>
  <c r="E228" i="12"/>
  <c r="G228" i="12" s="1"/>
  <c r="I228" i="12" s="1"/>
  <c r="E263" i="12"/>
  <c r="G263" i="12" s="1"/>
  <c r="I263" i="12" s="1"/>
  <c r="E266" i="12"/>
  <c r="G266" i="12" s="1"/>
  <c r="I266" i="12" s="1"/>
  <c r="E367" i="12"/>
  <c r="G367" i="12" s="1"/>
  <c r="I367" i="12" s="1"/>
  <c r="E14" i="12"/>
  <c r="G14" i="12" s="1"/>
  <c r="I14" i="12" s="1"/>
  <c r="E373" i="12"/>
  <c r="G373" i="12" s="1"/>
  <c r="I373" i="12" s="1"/>
  <c r="Q7" i="11"/>
  <c r="E374" i="12"/>
  <c r="G374" i="12" s="1"/>
  <c r="I374" i="12" s="1"/>
  <c r="E15" i="12"/>
  <c r="G15" i="12" s="1"/>
  <c r="I15" i="12" s="1"/>
  <c r="E400" i="12"/>
  <c r="G400" i="12" s="1"/>
  <c r="I400" i="12" s="1"/>
  <c r="E153" i="12"/>
  <c r="G153" i="12" s="1"/>
  <c r="I153" i="12" s="1"/>
  <c r="E16" i="12"/>
  <c r="G16" i="12" s="1"/>
  <c r="I16" i="12" s="1"/>
  <c r="E75" i="12"/>
  <c r="G75" i="12" s="1"/>
  <c r="I75" i="12" s="1"/>
  <c r="E96" i="12"/>
  <c r="G96" i="12" s="1"/>
  <c r="I96" i="12" s="1"/>
  <c r="E19" i="12"/>
  <c r="G19" i="12" s="1"/>
  <c r="I19" i="12" s="1"/>
  <c r="E20" i="12"/>
  <c r="G20" i="12" s="1"/>
  <c r="I20" i="12" s="1"/>
  <c r="Q14" i="11"/>
  <c r="E21" i="12"/>
  <c r="G21" i="12" s="1"/>
  <c r="I21" i="12" s="1"/>
  <c r="E23" i="12"/>
  <c r="G23" i="12" s="1"/>
  <c r="I23" i="12" s="1"/>
  <c r="E25" i="12"/>
  <c r="G25" i="12" s="1"/>
  <c r="I25" i="12" s="1"/>
  <c r="Q22" i="11"/>
  <c r="E26" i="12"/>
  <c r="G26" i="12" s="1"/>
  <c r="I26" i="12" s="1"/>
  <c r="E28" i="12"/>
  <c r="G28" i="12" s="1"/>
  <c r="I28" i="12" s="1"/>
  <c r="E98" i="12"/>
  <c r="G98" i="12" s="1"/>
  <c r="I98" i="12" s="1"/>
  <c r="E131" i="12"/>
  <c r="G131" i="12" s="1"/>
  <c r="I131" i="12" s="1"/>
  <c r="E136" i="12"/>
  <c r="G136" i="12" s="1"/>
  <c r="I136" i="12" s="1"/>
  <c r="E243" i="12"/>
  <c r="G243" i="12" s="1"/>
  <c r="I243" i="12" s="1"/>
  <c r="E246" i="12"/>
  <c r="G246" i="12" s="1"/>
  <c r="I246" i="12" s="1"/>
  <c r="E250" i="12"/>
  <c r="G250" i="12" s="1"/>
  <c r="I250" i="12" s="1"/>
  <c r="E354" i="12"/>
  <c r="G354" i="12" s="1"/>
  <c r="I354" i="12" s="1"/>
  <c r="E29" i="12"/>
  <c r="G29" i="12" s="1"/>
  <c r="I29" i="12" s="1"/>
  <c r="Q27" i="11"/>
  <c r="E102" i="12"/>
  <c r="G102" i="12" s="1"/>
  <c r="I102" i="12" s="1"/>
  <c r="Q28" i="11"/>
  <c r="Q29" i="11"/>
  <c r="Q30" i="11"/>
  <c r="Q33" i="11"/>
  <c r="E32" i="12"/>
  <c r="G32" i="12" s="1"/>
  <c r="I32" i="12" s="1"/>
  <c r="Q36" i="11"/>
  <c r="E34" i="12"/>
  <c r="G34" i="12" s="1"/>
  <c r="I34" i="12" s="1"/>
  <c r="E35" i="12"/>
  <c r="G35" i="12" s="1"/>
  <c r="I35" i="12" s="1"/>
  <c r="E36" i="12"/>
  <c r="G36" i="12" s="1"/>
  <c r="I36" i="12" s="1"/>
  <c r="E37" i="12"/>
  <c r="G37" i="12" s="1"/>
  <c r="I37" i="12" s="1"/>
  <c r="E38" i="12"/>
  <c r="G38" i="12" s="1"/>
  <c r="I38" i="12" s="1"/>
  <c r="E39" i="12"/>
  <c r="G39" i="12" s="1"/>
  <c r="I39" i="12" s="1"/>
  <c r="E40" i="12"/>
  <c r="G40" i="12" s="1"/>
  <c r="I40" i="12" s="1"/>
  <c r="E41" i="12"/>
  <c r="G41" i="12" s="1"/>
  <c r="I41" i="12" s="1"/>
  <c r="Q45" i="11"/>
  <c r="E42" i="12"/>
  <c r="G42" i="12" s="1"/>
  <c r="I42" i="12" s="1"/>
  <c r="Q47" i="11"/>
  <c r="Q48" i="11"/>
  <c r="E44" i="12"/>
  <c r="G44" i="12" s="1"/>
  <c r="I44" i="12" s="1"/>
  <c r="E45" i="12"/>
  <c r="G45" i="12" s="1"/>
  <c r="I45" i="12" s="1"/>
  <c r="E46" i="12"/>
  <c r="G46" i="12" s="1"/>
  <c r="I46" i="12" s="1"/>
  <c r="E392" i="12"/>
  <c r="G392" i="12" s="1"/>
  <c r="I392" i="12" s="1"/>
  <c r="E47" i="12"/>
  <c r="G47" i="12" s="1"/>
  <c r="I47" i="12" s="1"/>
  <c r="E48" i="12"/>
  <c r="G48" i="12" s="1"/>
  <c r="I48" i="12" s="1"/>
  <c r="E50" i="12"/>
  <c r="G50" i="12" s="1"/>
  <c r="I50" i="12" s="1"/>
  <c r="E51" i="12"/>
  <c r="G51" i="12" s="1"/>
  <c r="I51" i="12" s="1"/>
  <c r="E52" i="12"/>
  <c r="G52" i="12" s="1"/>
  <c r="I52" i="12" s="1"/>
  <c r="Q62" i="11"/>
  <c r="Q63" i="11"/>
  <c r="Q65" i="11"/>
  <c r="E57" i="12"/>
  <c r="G57" i="12" s="1"/>
  <c r="I57" i="12" s="1"/>
  <c r="E56" i="12"/>
  <c r="G56" i="12" s="1"/>
  <c r="I56" i="12" s="1"/>
  <c r="Q69" i="11"/>
  <c r="E58" i="12"/>
  <c r="G58" i="12" s="1"/>
  <c r="I58" i="12" s="1"/>
  <c r="E60" i="12"/>
  <c r="G60" i="12" s="1"/>
  <c r="I60" i="12" s="1"/>
  <c r="E61" i="12"/>
  <c r="G61" i="12" s="1"/>
  <c r="I61" i="12" s="1"/>
  <c r="E62" i="12"/>
  <c r="G62" i="12" s="1"/>
  <c r="I62" i="12" s="1"/>
  <c r="E63" i="12"/>
  <c r="G63" i="12" s="1"/>
  <c r="I63" i="12" s="1"/>
  <c r="E64" i="12"/>
  <c r="G64" i="12" s="1"/>
  <c r="I64" i="12" s="1"/>
  <c r="E65" i="12"/>
  <c r="G65" i="12" s="1"/>
  <c r="I65" i="12" s="1"/>
  <c r="E67" i="12"/>
  <c r="G67" i="12" s="1"/>
  <c r="I67" i="12" s="1"/>
  <c r="E109" i="12"/>
  <c r="G109" i="12" s="1"/>
  <c r="I109" i="12" s="1"/>
  <c r="E68" i="12"/>
  <c r="G68" i="12" s="1"/>
  <c r="I68" i="12" s="1"/>
  <c r="E69" i="12"/>
  <c r="G69" i="12" s="1"/>
  <c r="I69" i="12" s="1"/>
  <c r="E70" i="12"/>
  <c r="G70" i="12" s="1"/>
  <c r="I70" i="12" s="1"/>
  <c r="E71" i="12"/>
  <c r="G71" i="12" s="1"/>
  <c r="I71" i="12" s="1"/>
  <c r="E72" i="12"/>
  <c r="G72" i="12" s="1"/>
  <c r="I72" i="12" s="1"/>
  <c r="E73" i="12"/>
  <c r="G73" i="12" s="1"/>
  <c r="I73" i="12" s="1"/>
  <c r="E74" i="12"/>
  <c r="G74" i="12" s="1"/>
  <c r="I74" i="12" s="1"/>
  <c r="E76" i="12"/>
  <c r="G76" i="12" s="1"/>
  <c r="I76" i="12" s="1"/>
  <c r="E398" i="12"/>
  <c r="G398" i="12" s="1"/>
  <c r="I398" i="12" s="1"/>
  <c r="E399" i="12"/>
  <c r="G399" i="12" s="1"/>
  <c r="I399" i="12" s="1"/>
  <c r="E110" i="12"/>
  <c r="G110" i="12" s="1"/>
  <c r="I110" i="12" s="1"/>
  <c r="Q94" i="11"/>
  <c r="E80" i="12"/>
  <c r="G80" i="12" s="1"/>
  <c r="I80" i="12" s="1"/>
  <c r="E87" i="12"/>
  <c r="G87" i="12" s="1"/>
  <c r="I87" i="12" s="1"/>
  <c r="E81" i="12"/>
  <c r="G81" i="12" s="1"/>
  <c r="I81" i="12" s="1"/>
  <c r="E82" i="12"/>
  <c r="G82" i="12" s="1"/>
  <c r="I82" i="12" s="1"/>
  <c r="Q100" i="11"/>
  <c r="E86" i="12"/>
  <c r="G86" i="12" s="1"/>
  <c r="I86" i="12" s="1"/>
  <c r="E88" i="12"/>
  <c r="G88" i="12" s="1"/>
  <c r="I88" i="12" s="1"/>
  <c r="E83" i="12"/>
  <c r="G83" i="12" s="1"/>
  <c r="I83" i="12" s="1"/>
  <c r="E84" i="12"/>
  <c r="G84" i="12" s="1"/>
  <c r="I84" i="12" s="1"/>
  <c r="E85" i="12"/>
  <c r="G85" i="12" s="1"/>
  <c r="I85" i="12" s="1"/>
  <c r="Q107" i="11"/>
  <c r="E89" i="12"/>
  <c r="G89" i="12" s="1"/>
  <c r="I89" i="12" s="1"/>
  <c r="E90" i="12"/>
  <c r="G90" i="12" s="1"/>
  <c r="I90" i="12" s="1"/>
  <c r="E91" i="12"/>
  <c r="G91" i="12" s="1"/>
  <c r="I91" i="12" s="1"/>
  <c r="E92" i="12"/>
  <c r="G92" i="12" s="1"/>
  <c r="I92" i="12" s="1"/>
  <c r="E93" i="12"/>
  <c r="G93" i="12" s="1"/>
  <c r="I93" i="12" s="1"/>
  <c r="E94" i="12"/>
  <c r="G94" i="12" s="1"/>
  <c r="I94" i="12" s="1"/>
  <c r="E95" i="12"/>
  <c r="G95" i="12" s="1"/>
  <c r="I95" i="12" s="1"/>
  <c r="Q116" i="11"/>
  <c r="E22" i="12"/>
  <c r="G22" i="12" s="1"/>
  <c r="I22" i="12" s="1"/>
  <c r="Q118" i="11"/>
  <c r="E99" i="12"/>
  <c r="G99" i="12" s="1"/>
  <c r="I99" i="12" s="1"/>
  <c r="E100" i="12"/>
  <c r="G100" i="12" s="1"/>
  <c r="I100" i="12" s="1"/>
  <c r="E103" i="12"/>
  <c r="G103" i="12" s="1"/>
  <c r="I103" i="12" s="1"/>
  <c r="E104" i="12"/>
  <c r="G104" i="12" s="1"/>
  <c r="I104" i="12" s="1"/>
  <c r="Q128" i="11"/>
  <c r="E105" i="12"/>
  <c r="G105" i="12" s="1"/>
  <c r="I105" i="12" s="1"/>
  <c r="E106" i="12"/>
  <c r="G106" i="12" s="1"/>
  <c r="I106" i="12" s="1"/>
  <c r="E107" i="12"/>
  <c r="G107" i="12" s="1"/>
  <c r="I107" i="12" s="1"/>
  <c r="Q132" i="11"/>
  <c r="E108" i="12"/>
  <c r="G108" i="12" s="1"/>
  <c r="I108" i="12" s="1"/>
  <c r="Q134" i="11"/>
  <c r="Q136" i="11"/>
  <c r="E111" i="12"/>
  <c r="G111" i="12" s="1"/>
  <c r="I111" i="12" s="1"/>
  <c r="E112" i="12"/>
  <c r="G112" i="12" s="1"/>
  <c r="I112" i="12" s="1"/>
  <c r="E113" i="12"/>
  <c r="G113" i="12" s="1"/>
  <c r="I113" i="12" s="1"/>
  <c r="Q328" i="11"/>
  <c r="E114" i="12"/>
  <c r="G114" i="12" s="1"/>
  <c r="I114" i="12" s="1"/>
  <c r="E115" i="12"/>
  <c r="G115" i="12" s="1"/>
  <c r="I115" i="12" s="1"/>
  <c r="E116" i="12"/>
  <c r="G116" i="12" s="1"/>
  <c r="I116" i="12" s="1"/>
  <c r="E117" i="12"/>
  <c r="G117" i="12" s="1"/>
  <c r="I117" i="12" s="1"/>
  <c r="E118" i="12"/>
  <c r="G118" i="12" s="1"/>
  <c r="I118" i="12" s="1"/>
  <c r="Q148" i="11"/>
  <c r="E119" i="12"/>
  <c r="G119" i="12" s="1"/>
  <c r="I119" i="12" s="1"/>
  <c r="E357" i="12"/>
  <c r="G357" i="12" s="1"/>
  <c r="I357" i="12" s="1"/>
  <c r="E183" i="12"/>
  <c r="G183" i="12" s="1"/>
  <c r="I183" i="12" s="1"/>
  <c r="E123" i="12"/>
  <c r="G123" i="12" s="1"/>
  <c r="I123" i="12" s="1"/>
  <c r="E301" i="12"/>
  <c r="G301" i="12" s="1"/>
  <c r="I301" i="12" s="1"/>
  <c r="E253" i="12"/>
  <c r="G253" i="12" s="1"/>
  <c r="I253" i="12" s="1"/>
  <c r="E226" i="12"/>
  <c r="G226" i="12" s="1"/>
  <c r="I226" i="12" s="1"/>
  <c r="E222" i="12"/>
  <c r="G222" i="12" s="1"/>
  <c r="I222" i="12" s="1"/>
  <c r="E220" i="12"/>
  <c r="G220" i="12" s="1"/>
  <c r="I220" i="12" s="1"/>
  <c r="E186" i="12"/>
  <c r="G186" i="12" s="1"/>
  <c r="I186" i="12" s="1"/>
  <c r="E182" i="12"/>
  <c r="G182" i="12" s="1"/>
  <c r="I182" i="12" s="1"/>
  <c r="E169" i="12"/>
  <c r="G169" i="12" s="1"/>
  <c r="I169" i="12" s="1"/>
  <c r="E156" i="12"/>
  <c r="G156" i="12" s="1"/>
  <c r="I156" i="12" s="1"/>
  <c r="E141" i="12"/>
  <c r="G141" i="12" s="1"/>
  <c r="I141" i="12" s="1"/>
  <c r="E137" i="12"/>
  <c r="G137" i="12" s="1"/>
  <c r="I137" i="12" s="1"/>
  <c r="E125" i="12"/>
  <c r="G125" i="12" s="1"/>
  <c r="I125" i="12" s="1"/>
  <c r="E101" i="12"/>
  <c r="G101" i="12" s="1"/>
  <c r="I101" i="12" s="1"/>
  <c r="E78" i="12"/>
  <c r="G78" i="12" s="1"/>
  <c r="I78" i="12" s="1"/>
  <c r="Q80" i="11"/>
  <c r="Q95" i="11"/>
  <c r="Q117" i="11"/>
  <c r="Q18" i="11"/>
  <c r="Q24" i="11"/>
  <c r="E120" i="12"/>
  <c r="G120" i="12" s="1"/>
  <c r="I120" i="12" s="1"/>
  <c r="E121" i="12"/>
  <c r="G121" i="12" s="1"/>
  <c r="I121" i="12" s="1"/>
  <c r="E269" i="12"/>
  <c r="G269" i="12" s="1"/>
  <c r="I269" i="12" s="1"/>
  <c r="E31" i="12"/>
  <c r="G31" i="12" s="1"/>
  <c r="I31" i="12" s="1"/>
  <c r="E122" i="12"/>
  <c r="G122" i="12" s="1"/>
  <c r="I122" i="12" s="1"/>
  <c r="E124" i="12"/>
  <c r="G124" i="12" s="1"/>
  <c r="I124" i="12" s="1"/>
  <c r="E126" i="12"/>
  <c r="G126" i="12" s="1"/>
  <c r="I126" i="12" s="1"/>
  <c r="E127" i="12"/>
  <c r="G127" i="12" s="1"/>
  <c r="I127" i="12" s="1"/>
  <c r="Q159" i="11"/>
  <c r="E128" i="12"/>
  <c r="G128" i="12" s="1"/>
  <c r="I128" i="12" s="1"/>
  <c r="Q161" i="11"/>
  <c r="E129" i="12"/>
  <c r="G129" i="12" s="1"/>
  <c r="I129" i="12" s="1"/>
  <c r="E132" i="12"/>
  <c r="G132" i="12" s="1"/>
  <c r="I132" i="12" s="1"/>
  <c r="Q168" i="11"/>
  <c r="E139" i="12"/>
  <c r="G139" i="12" s="1"/>
  <c r="I139" i="12" s="1"/>
  <c r="E140" i="12"/>
  <c r="G140" i="12" s="1"/>
  <c r="I140" i="12" s="1"/>
  <c r="Q177" i="11"/>
  <c r="Q180" i="11"/>
  <c r="E144" i="12"/>
  <c r="G144" i="12" s="1"/>
  <c r="I144" i="12" s="1"/>
  <c r="E145" i="12"/>
  <c r="G145" i="12" s="1"/>
  <c r="I145" i="12" s="1"/>
  <c r="E146" i="12"/>
  <c r="G146" i="12" s="1"/>
  <c r="I146" i="12" s="1"/>
  <c r="Q185" i="11"/>
  <c r="E148" i="12"/>
  <c r="G148" i="12" s="1"/>
  <c r="I148" i="12" s="1"/>
  <c r="E149" i="12"/>
  <c r="G149" i="12" s="1"/>
  <c r="I149" i="12" s="1"/>
  <c r="E152" i="12"/>
  <c r="G152" i="12" s="1"/>
  <c r="I152" i="12" s="1"/>
  <c r="E154" i="12"/>
  <c r="G154" i="12" s="1"/>
  <c r="I154" i="12" s="1"/>
  <c r="Q192" i="11"/>
  <c r="E155" i="12"/>
  <c r="G155" i="12" s="1"/>
  <c r="I155" i="12" s="1"/>
  <c r="E160" i="12"/>
  <c r="G160" i="12" s="1"/>
  <c r="I160" i="12" s="1"/>
  <c r="Q197" i="11"/>
  <c r="E157" i="12"/>
  <c r="G157" i="12" s="1"/>
  <c r="I157" i="12" s="1"/>
  <c r="E158" i="12"/>
  <c r="G158" i="12" s="1"/>
  <c r="I158" i="12" s="1"/>
  <c r="E159" i="12"/>
  <c r="G159" i="12" s="1"/>
  <c r="I159" i="12" s="1"/>
  <c r="E161" i="12"/>
  <c r="G161" i="12" s="1"/>
  <c r="I161" i="12" s="1"/>
  <c r="E162" i="12"/>
  <c r="G162" i="12" s="1"/>
  <c r="I162" i="12" s="1"/>
  <c r="E163" i="12"/>
  <c r="G163" i="12" s="1"/>
  <c r="I163" i="12" s="1"/>
  <c r="E168" i="12"/>
  <c r="G168" i="12" s="1"/>
  <c r="I168" i="12" s="1"/>
  <c r="E172" i="12"/>
  <c r="G172" i="12" s="1"/>
  <c r="I172" i="12" s="1"/>
  <c r="E164" i="12"/>
  <c r="G164" i="12" s="1"/>
  <c r="I164" i="12" s="1"/>
  <c r="E165" i="12"/>
  <c r="G165" i="12" s="1"/>
  <c r="I165" i="12" s="1"/>
  <c r="E166" i="12"/>
  <c r="G166" i="12" s="1"/>
  <c r="I166" i="12" s="1"/>
  <c r="E167" i="12"/>
  <c r="G167" i="12" s="1"/>
  <c r="I167" i="12" s="1"/>
  <c r="E170" i="12"/>
  <c r="G170" i="12" s="1"/>
  <c r="I170" i="12" s="1"/>
  <c r="E171" i="12"/>
  <c r="G171" i="12" s="1"/>
  <c r="I171" i="12" s="1"/>
  <c r="Q213" i="11"/>
  <c r="E173" i="12"/>
  <c r="G173" i="12" s="1"/>
  <c r="I173" i="12" s="1"/>
  <c r="E175" i="12"/>
  <c r="G175" i="12" s="1"/>
  <c r="I175" i="12" s="1"/>
  <c r="E176" i="12"/>
  <c r="G176" i="12" s="1"/>
  <c r="I176" i="12" s="1"/>
  <c r="E177" i="12"/>
  <c r="G177" i="12" s="1"/>
  <c r="I177" i="12" s="1"/>
  <c r="E178" i="12"/>
  <c r="G178" i="12" s="1"/>
  <c r="I178" i="12" s="1"/>
  <c r="E179" i="12"/>
  <c r="G179" i="12" s="1"/>
  <c r="I179" i="12" s="1"/>
  <c r="Q221" i="11"/>
  <c r="E190" i="12"/>
  <c r="G190" i="12" s="1"/>
  <c r="I190" i="12" s="1"/>
  <c r="E180" i="12"/>
  <c r="G180" i="12" s="1"/>
  <c r="I180" i="12" s="1"/>
  <c r="E181" i="12"/>
  <c r="G181" i="12" s="1"/>
  <c r="I181" i="12" s="1"/>
  <c r="E184" i="12"/>
  <c r="G184" i="12" s="1"/>
  <c r="I184" i="12" s="1"/>
  <c r="E185" i="12"/>
  <c r="G185" i="12" s="1"/>
  <c r="I185" i="12" s="1"/>
  <c r="Q231" i="11"/>
  <c r="E189" i="12"/>
  <c r="G189" i="12" s="1"/>
  <c r="I189" i="12" s="1"/>
  <c r="E192" i="12"/>
  <c r="G192" i="12" s="1"/>
  <c r="I192" i="12" s="1"/>
  <c r="E193" i="12"/>
  <c r="G193" i="12" s="1"/>
  <c r="I193" i="12" s="1"/>
  <c r="E194" i="12"/>
  <c r="G194" i="12" s="1"/>
  <c r="I194" i="12" s="1"/>
  <c r="E43" i="12"/>
  <c r="G43" i="12" s="1"/>
  <c r="I43" i="12" s="1"/>
  <c r="E215" i="12"/>
  <c r="G215" i="12" s="1"/>
  <c r="I215" i="12" s="1"/>
  <c r="E370" i="12"/>
  <c r="G370" i="12" s="1"/>
  <c r="I370" i="12" s="1"/>
  <c r="E196" i="12"/>
  <c r="G196" i="12" s="1"/>
  <c r="I196" i="12" s="1"/>
  <c r="E59" i="12"/>
  <c r="G59" i="12" s="1"/>
  <c r="I59" i="12" s="1"/>
  <c r="Q241" i="11"/>
  <c r="E204" i="12"/>
  <c r="G204" i="12" s="1"/>
  <c r="I204" i="12" s="1"/>
  <c r="E197" i="12"/>
  <c r="G197" i="12" s="1"/>
  <c r="I197" i="12" s="1"/>
  <c r="E77" i="12"/>
  <c r="G77" i="12" s="1"/>
  <c r="I77" i="12" s="1"/>
  <c r="E49" i="12"/>
  <c r="G49" i="12" s="1"/>
  <c r="I49" i="12" s="1"/>
  <c r="E198" i="12"/>
  <c r="G198" i="12" s="1"/>
  <c r="I198" i="12" s="1"/>
  <c r="E199" i="12"/>
  <c r="G199" i="12" s="1"/>
  <c r="I199" i="12" s="1"/>
  <c r="E200" i="12"/>
  <c r="G200" i="12" s="1"/>
  <c r="I200" i="12" s="1"/>
  <c r="Q247" i="11"/>
  <c r="Q248" i="11"/>
  <c r="E201" i="12"/>
  <c r="G201" i="12" s="1"/>
  <c r="I201" i="12" s="1"/>
  <c r="E202" i="12"/>
  <c r="G202" i="12" s="1"/>
  <c r="I202" i="12" s="1"/>
  <c r="E203" i="12"/>
  <c r="G203" i="12" s="1"/>
  <c r="I203" i="12" s="1"/>
  <c r="E205" i="12"/>
  <c r="G205" i="12" s="1"/>
  <c r="I205" i="12" s="1"/>
  <c r="E207" i="12"/>
  <c r="G207" i="12" s="1"/>
  <c r="I207" i="12" s="1"/>
  <c r="E208" i="12"/>
  <c r="G208" i="12" s="1"/>
  <c r="I208" i="12" s="1"/>
  <c r="E210" i="12"/>
  <c r="G210" i="12" s="1"/>
  <c r="I210" i="12" s="1"/>
  <c r="E209" i="12"/>
  <c r="G209" i="12" s="1"/>
  <c r="I209" i="12" s="1"/>
  <c r="E211" i="12"/>
  <c r="G211" i="12" s="1"/>
  <c r="I211" i="12" s="1"/>
  <c r="E212" i="12"/>
  <c r="G212" i="12" s="1"/>
  <c r="I212" i="12" s="1"/>
  <c r="Q260" i="11"/>
  <c r="E214" i="12"/>
  <c r="G214" i="12" s="1"/>
  <c r="I214" i="12" s="1"/>
  <c r="E216" i="12"/>
  <c r="G216" i="12" s="1"/>
  <c r="I216" i="12" s="1"/>
  <c r="Q265" i="11"/>
  <c r="Q266" i="11"/>
  <c r="E217" i="12"/>
  <c r="G217" i="12" s="1"/>
  <c r="I217" i="12" s="1"/>
  <c r="E218" i="12"/>
  <c r="G218" i="12" s="1"/>
  <c r="I218" i="12" s="1"/>
  <c r="E219" i="12"/>
  <c r="G219" i="12" s="1"/>
  <c r="I219" i="12" s="1"/>
  <c r="E221" i="12"/>
  <c r="G221" i="12" s="1"/>
  <c r="I221" i="12" s="1"/>
  <c r="Q272" i="11"/>
  <c r="Q273" i="11"/>
  <c r="Q275" i="11"/>
  <c r="E223" i="12"/>
  <c r="G223" i="12" s="1"/>
  <c r="I223" i="12" s="1"/>
  <c r="E224" i="12"/>
  <c r="G224" i="12" s="1"/>
  <c r="I224" i="12" s="1"/>
  <c r="Q278" i="11"/>
  <c r="Q281" i="11"/>
  <c r="E227" i="12"/>
  <c r="G227" i="12" s="1"/>
  <c r="I227" i="12" s="1"/>
  <c r="E230" i="12"/>
  <c r="G230" i="12" s="1"/>
  <c r="I230" i="12" s="1"/>
  <c r="Q287" i="11"/>
  <c r="Q288" i="11"/>
  <c r="E232" i="12"/>
  <c r="G232" i="12" s="1"/>
  <c r="I232" i="12" s="1"/>
  <c r="E233" i="12"/>
  <c r="G233" i="12" s="1"/>
  <c r="I233" i="12" s="1"/>
  <c r="E234" i="12"/>
  <c r="G234" i="12" s="1"/>
  <c r="I234" i="12" s="1"/>
  <c r="E235" i="12"/>
  <c r="G235" i="12" s="1"/>
  <c r="I235" i="12" s="1"/>
  <c r="E236" i="12"/>
  <c r="G236" i="12" s="1"/>
  <c r="I236" i="12" s="1"/>
  <c r="E237" i="12"/>
  <c r="G237" i="12" s="1"/>
  <c r="I237" i="12" s="1"/>
  <c r="E238" i="12"/>
  <c r="G238" i="12" s="1"/>
  <c r="I238" i="12" s="1"/>
  <c r="E239" i="12"/>
  <c r="G239" i="12" s="1"/>
  <c r="I239" i="12" s="1"/>
  <c r="E241" i="12"/>
  <c r="G241" i="12" s="1"/>
  <c r="I241" i="12" s="1"/>
  <c r="E242" i="12"/>
  <c r="G242" i="12" s="1"/>
  <c r="I242" i="12" s="1"/>
  <c r="E244" i="12"/>
  <c r="G244" i="12" s="1"/>
  <c r="I244" i="12" s="1"/>
  <c r="Q303" i="11"/>
  <c r="E245" i="12"/>
  <c r="G245" i="12" s="1"/>
  <c r="I245" i="12" s="1"/>
  <c r="Q306" i="11"/>
  <c r="Q307" i="11"/>
  <c r="E247" i="12"/>
  <c r="G247" i="12" s="1"/>
  <c r="I247" i="12" s="1"/>
  <c r="Q310" i="11"/>
  <c r="E249" i="12"/>
  <c r="G249" i="12" s="1"/>
  <c r="I249" i="12" s="1"/>
  <c r="E231" i="12"/>
  <c r="G231" i="12" s="1"/>
  <c r="I231" i="12" s="1"/>
  <c r="Q59" i="11"/>
  <c r="E54" i="12"/>
  <c r="G54" i="12" s="1"/>
  <c r="I54" i="12" s="1"/>
  <c r="E142" i="12"/>
  <c r="G142" i="12" s="1"/>
  <c r="I142" i="12" s="1"/>
  <c r="E304" i="12"/>
  <c r="G304" i="12" s="1"/>
  <c r="I304" i="12" s="1"/>
  <c r="Q430" i="11"/>
  <c r="E343" i="12"/>
  <c r="G343" i="12" s="1"/>
  <c r="I343" i="12" s="1"/>
  <c r="Q90" i="11"/>
  <c r="E251" i="12"/>
  <c r="G251" i="12" s="1"/>
  <c r="I251" i="12" s="1"/>
  <c r="E252" i="12"/>
  <c r="G252" i="12" s="1"/>
  <c r="I252" i="12" s="1"/>
  <c r="E254" i="12"/>
  <c r="G254" i="12" s="1"/>
  <c r="I254" i="12" s="1"/>
  <c r="E255" i="12"/>
  <c r="G255" i="12" s="1"/>
  <c r="I255" i="12" s="1"/>
  <c r="E256" i="12"/>
  <c r="G256" i="12" s="1"/>
  <c r="I256" i="12" s="1"/>
  <c r="E257" i="12"/>
  <c r="G257" i="12" s="1"/>
  <c r="I257" i="12" s="1"/>
  <c r="Q319" i="11"/>
  <c r="Q321" i="11"/>
  <c r="E258" i="12"/>
  <c r="G258" i="12" s="1"/>
  <c r="I258" i="12" s="1"/>
  <c r="E259" i="12"/>
  <c r="G259" i="12" s="1"/>
  <c r="I259" i="12" s="1"/>
  <c r="E261" i="12"/>
  <c r="G261" i="12" s="1"/>
  <c r="I261" i="12" s="1"/>
  <c r="E262" i="12"/>
  <c r="G262" i="12" s="1"/>
  <c r="I262" i="12" s="1"/>
  <c r="Q331" i="11"/>
  <c r="Q333" i="11"/>
  <c r="E264" i="12"/>
  <c r="G264" i="12" s="1"/>
  <c r="I264" i="12" s="1"/>
  <c r="E265" i="12"/>
  <c r="G265" i="12" s="1"/>
  <c r="I265" i="12" s="1"/>
  <c r="Q337" i="11"/>
  <c r="E267" i="12"/>
  <c r="G267" i="12" s="1"/>
  <c r="I267" i="12" s="1"/>
  <c r="E268" i="12"/>
  <c r="G268" i="12" s="1"/>
  <c r="I268" i="12" s="1"/>
  <c r="E270" i="12"/>
  <c r="G270" i="12" s="1"/>
  <c r="I270" i="12" s="1"/>
  <c r="E271" i="12"/>
  <c r="G271" i="12" s="1"/>
  <c r="I271" i="12" s="1"/>
  <c r="Q358" i="11"/>
  <c r="E272" i="12"/>
  <c r="G272" i="12" s="1"/>
  <c r="I272" i="12" s="1"/>
  <c r="E273" i="12"/>
  <c r="G273" i="12" s="1"/>
  <c r="I273" i="12" s="1"/>
  <c r="E274" i="12"/>
  <c r="G274" i="12" s="1"/>
  <c r="I274" i="12" s="1"/>
  <c r="E275" i="12"/>
  <c r="G275" i="12" s="1"/>
  <c r="I275" i="12" s="1"/>
  <c r="E276" i="12"/>
  <c r="G276" i="12" s="1"/>
  <c r="I276" i="12" s="1"/>
  <c r="E277" i="12"/>
  <c r="G277" i="12" s="1"/>
  <c r="I277" i="12" s="1"/>
  <c r="E278" i="12"/>
  <c r="G278" i="12" s="1"/>
  <c r="I278" i="12" s="1"/>
  <c r="E279" i="12"/>
  <c r="G279" i="12" s="1"/>
  <c r="I279" i="12" s="1"/>
  <c r="E280" i="12"/>
  <c r="G280" i="12" s="1"/>
  <c r="I280" i="12" s="1"/>
  <c r="E284" i="12"/>
  <c r="G284" i="12" s="1"/>
  <c r="I284" i="12" s="1"/>
  <c r="E281" i="12"/>
  <c r="G281" i="12" s="1"/>
  <c r="I281" i="12" s="1"/>
  <c r="E283" i="12"/>
  <c r="G283" i="12" s="1"/>
  <c r="I283" i="12" s="1"/>
  <c r="E282" i="12"/>
  <c r="G282" i="12" s="1"/>
  <c r="I282" i="12" s="1"/>
  <c r="E286" i="12"/>
  <c r="G286" i="12" s="1"/>
  <c r="I286" i="12" s="1"/>
  <c r="E287" i="12"/>
  <c r="G287" i="12" s="1"/>
  <c r="I287" i="12" s="1"/>
  <c r="Q361" i="11"/>
  <c r="E288" i="12"/>
  <c r="G288" i="12" s="1"/>
  <c r="I288" i="12" s="1"/>
  <c r="E289" i="12"/>
  <c r="G289" i="12" s="1"/>
  <c r="I289" i="12" s="1"/>
  <c r="E290" i="12"/>
  <c r="G290" i="12" s="1"/>
  <c r="I290" i="12" s="1"/>
  <c r="E291" i="12"/>
  <c r="G291" i="12" s="1"/>
  <c r="I291" i="12" s="1"/>
  <c r="Q366" i="11"/>
  <c r="E292" i="12"/>
  <c r="G292" i="12" s="1"/>
  <c r="I292" i="12" s="1"/>
  <c r="E294" i="12"/>
  <c r="G294" i="12" s="1"/>
  <c r="I294" i="12" s="1"/>
  <c r="E150" i="12"/>
  <c r="G150" i="12" s="1"/>
  <c r="I150" i="12" s="1"/>
  <c r="E315" i="12"/>
  <c r="G315" i="12" s="1"/>
  <c r="I315" i="12" s="1"/>
  <c r="E297" i="12"/>
  <c r="G297" i="12" s="1"/>
  <c r="I297" i="12" s="1"/>
  <c r="E295" i="12"/>
  <c r="G295" i="12" s="1"/>
  <c r="I295" i="12" s="1"/>
  <c r="Q376" i="11"/>
  <c r="E296" i="12"/>
  <c r="G296" i="12" s="1"/>
  <c r="I296" i="12" s="1"/>
  <c r="Q378" i="11"/>
  <c r="E298" i="12"/>
  <c r="G298" i="12" s="1"/>
  <c r="I298" i="12" s="1"/>
  <c r="Q381" i="11"/>
  <c r="E299" i="12"/>
  <c r="G299" i="12" s="1"/>
  <c r="I299" i="12" s="1"/>
  <c r="E300" i="12"/>
  <c r="G300" i="12" s="1"/>
  <c r="I300" i="12" s="1"/>
  <c r="E302" i="12"/>
  <c r="G302" i="12" s="1"/>
  <c r="I302" i="12" s="1"/>
  <c r="E303" i="12"/>
  <c r="G303" i="12" s="1"/>
  <c r="I303" i="12" s="1"/>
  <c r="E305" i="12"/>
  <c r="G305" i="12" s="1"/>
  <c r="I305" i="12" s="1"/>
  <c r="E307" i="12"/>
  <c r="G307" i="12" s="1"/>
  <c r="I307" i="12" s="1"/>
  <c r="E308" i="12"/>
  <c r="G308" i="12" s="1"/>
  <c r="I308" i="12" s="1"/>
  <c r="E310" i="12"/>
  <c r="G310" i="12" s="1"/>
  <c r="I310" i="12" s="1"/>
  <c r="E309" i="12"/>
  <c r="G309" i="12" s="1"/>
  <c r="I309" i="12" s="1"/>
  <c r="E311" i="12"/>
  <c r="G311" i="12" s="1"/>
  <c r="I311" i="12" s="1"/>
  <c r="E312" i="12"/>
  <c r="G312" i="12" s="1"/>
  <c r="I312" i="12" s="1"/>
  <c r="E313" i="12"/>
  <c r="G313" i="12" s="1"/>
  <c r="I313" i="12" s="1"/>
  <c r="E314" i="12"/>
  <c r="G314" i="12" s="1"/>
  <c r="I314" i="12" s="1"/>
  <c r="Q400" i="11"/>
  <c r="E333" i="12"/>
  <c r="G333" i="12" s="1"/>
  <c r="I333" i="12" s="1"/>
  <c r="E334" i="12"/>
  <c r="G334" i="12" s="1"/>
  <c r="I334" i="12" s="1"/>
  <c r="E335" i="12"/>
  <c r="G335" i="12" s="1"/>
  <c r="I335" i="12" s="1"/>
  <c r="E336" i="12"/>
  <c r="G336" i="12" s="1"/>
  <c r="I336" i="12" s="1"/>
  <c r="E337" i="12"/>
  <c r="G337" i="12" s="1"/>
  <c r="I337" i="12" s="1"/>
  <c r="Q406" i="11"/>
  <c r="Q407" i="11"/>
  <c r="E317" i="12"/>
  <c r="G317" i="12" s="1"/>
  <c r="I317" i="12" s="1"/>
  <c r="Q409" i="11"/>
  <c r="E318" i="12"/>
  <c r="G318" i="12" s="1"/>
  <c r="I318" i="12" s="1"/>
  <c r="E319" i="12"/>
  <c r="G319" i="12" s="1"/>
  <c r="I319" i="12" s="1"/>
  <c r="Q122" i="11"/>
  <c r="E321" i="12"/>
  <c r="G321" i="12" s="1"/>
  <c r="I321" i="12" s="1"/>
  <c r="E320" i="12"/>
  <c r="G320" i="12" s="1"/>
  <c r="I320" i="12" s="1"/>
  <c r="E322" i="12"/>
  <c r="G322" i="12" s="1"/>
  <c r="I322" i="12" s="1"/>
  <c r="E323" i="12"/>
  <c r="G323" i="12" s="1"/>
  <c r="I323" i="12" s="1"/>
  <c r="E328" i="12"/>
  <c r="G328" i="12" s="1"/>
  <c r="I328" i="12" s="1"/>
  <c r="E324" i="12"/>
  <c r="G324" i="12" s="1"/>
  <c r="I324" i="12" s="1"/>
  <c r="E325" i="12"/>
  <c r="G325" i="12" s="1"/>
  <c r="I325" i="12" s="1"/>
  <c r="E326" i="12"/>
  <c r="G326" i="12" s="1"/>
  <c r="I326" i="12" s="1"/>
  <c r="E329" i="12"/>
  <c r="G329" i="12" s="1"/>
  <c r="I329" i="12" s="1"/>
  <c r="E331" i="12"/>
  <c r="G331" i="12" s="1"/>
  <c r="I331" i="12" s="1"/>
  <c r="E332" i="12"/>
  <c r="G332" i="12" s="1"/>
  <c r="I332" i="12" s="1"/>
  <c r="Q426" i="11"/>
  <c r="E327" i="12"/>
  <c r="G327" i="12" s="1"/>
  <c r="I327" i="12" s="1"/>
  <c r="E338" i="12"/>
  <c r="G338" i="12" s="1"/>
  <c r="I338" i="12" s="1"/>
  <c r="E339" i="12"/>
  <c r="G339" i="12" s="1"/>
  <c r="I339" i="12" s="1"/>
  <c r="E340" i="12"/>
  <c r="G340" i="12" s="1"/>
  <c r="I340" i="12" s="1"/>
  <c r="Q431" i="11"/>
  <c r="Q433" i="11"/>
  <c r="Q434" i="11"/>
  <c r="Q435" i="11"/>
  <c r="Q436" i="11"/>
  <c r="E344" i="12"/>
  <c r="G344" i="12" s="1"/>
  <c r="I344" i="12" s="1"/>
  <c r="Q439" i="11"/>
  <c r="Q441" i="11"/>
  <c r="E346" i="12"/>
  <c r="G346" i="12" s="1"/>
  <c r="I346" i="12" s="1"/>
  <c r="E347" i="12"/>
  <c r="G347" i="12" s="1"/>
  <c r="I347" i="12" s="1"/>
  <c r="E348" i="12"/>
  <c r="G348" i="12" s="1"/>
  <c r="I348" i="12" s="1"/>
  <c r="E349" i="12"/>
  <c r="G349" i="12" s="1"/>
  <c r="I349" i="12" s="1"/>
  <c r="E352" i="12"/>
  <c r="G352" i="12" s="1"/>
  <c r="I352" i="12" s="1"/>
  <c r="Q450" i="11"/>
  <c r="Q451" i="11"/>
  <c r="E353" i="12"/>
  <c r="G353" i="12" s="1"/>
  <c r="I353" i="12" s="1"/>
  <c r="E355" i="12"/>
  <c r="G355" i="12" s="1"/>
  <c r="I355" i="12" s="1"/>
  <c r="E356" i="12"/>
  <c r="G356" i="12" s="1"/>
  <c r="I356" i="12" s="1"/>
  <c r="E358" i="12"/>
  <c r="G358" i="12" s="1"/>
  <c r="I358" i="12" s="1"/>
  <c r="Q459" i="11"/>
  <c r="E359" i="12"/>
  <c r="G359" i="12" s="1"/>
  <c r="I359" i="12" s="1"/>
  <c r="E360" i="12"/>
  <c r="G360" i="12" s="1"/>
  <c r="I360" i="12" s="1"/>
  <c r="E361" i="12"/>
  <c r="G361" i="12" s="1"/>
  <c r="I361" i="12" s="1"/>
  <c r="E362" i="12"/>
  <c r="G362" i="12" s="1"/>
  <c r="I362" i="12" s="1"/>
  <c r="Q464" i="11"/>
  <c r="E363" i="12"/>
  <c r="G363" i="12" s="1"/>
  <c r="I363" i="12" s="1"/>
  <c r="E364" i="12"/>
  <c r="G364" i="12" s="1"/>
  <c r="I364" i="12" s="1"/>
  <c r="Q467" i="11"/>
  <c r="E365" i="12"/>
  <c r="G365" i="12" s="1"/>
  <c r="I365" i="12" s="1"/>
  <c r="E366" i="12"/>
  <c r="G366" i="12" s="1"/>
  <c r="I366" i="12" s="1"/>
  <c r="E368" i="12"/>
  <c r="G368" i="12" s="1"/>
  <c r="I368" i="12" s="1"/>
  <c r="E369" i="12"/>
  <c r="G369" i="12" s="1"/>
  <c r="I369" i="12" s="1"/>
  <c r="Q474" i="11"/>
  <c r="Q475" i="11"/>
  <c r="E371" i="12"/>
  <c r="G371" i="12" s="1"/>
  <c r="I371" i="12" s="1"/>
  <c r="Q477" i="11"/>
  <c r="E380" i="12"/>
  <c r="G380" i="12" s="1"/>
  <c r="I380" i="12" s="1"/>
  <c r="Q482" i="11"/>
  <c r="E379" i="12"/>
  <c r="G379" i="12" s="1"/>
  <c r="I379" i="12" s="1"/>
  <c r="E375" i="12"/>
  <c r="G375" i="12" s="1"/>
  <c r="I375" i="12" s="1"/>
  <c r="E376" i="12"/>
  <c r="G376" i="12" s="1"/>
  <c r="I376" i="12" s="1"/>
  <c r="E377" i="12"/>
  <c r="G377" i="12" s="1"/>
  <c r="I377" i="12" s="1"/>
  <c r="E378" i="12"/>
  <c r="G378" i="12" s="1"/>
  <c r="I378" i="12" s="1"/>
  <c r="E382" i="12"/>
  <c r="G382" i="12" s="1"/>
  <c r="I382" i="12" s="1"/>
  <c r="E383" i="12"/>
  <c r="G383" i="12" s="1"/>
  <c r="I383" i="12" s="1"/>
  <c r="E381" i="12"/>
  <c r="G381" i="12" s="1"/>
  <c r="I381" i="12" s="1"/>
  <c r="E384" i="12"/>
  <c r="G384" i="12" s="1"/>
  <c r="I384" i="12" s="1"/>
  <c r="E385" i="12"/>
  <c r="G385" i="12" s="1"/>
  <c r="I385" i="12" s="1"/>
  <c r="E386" i="12"/>
  <c r="G386" i="12" s="1"/>
  <c r="I386" i="12" s="1"/>
  <c r="Q494" i="11"/>
  <c r="E387" i="12"/>
  <c r="G387" i="12" s="1"/>
  <c r="I387" i="12" s="1"/>
  <c r="E388" i="12"/>
  <c r="G388" i="12" s="1"/>
  <c r="I388" i="12" s="1"/>
  <c r="E389" i="12"/>
  <c r="G389" i="12" s="1"/>
  <c r="I389" i="12" s="1"/>
  <c r="E390" i="12"/>
  <c r="G390" i="12" s="1"/>
  <c r="I390" i="12" s="1"/>
  <c r="E394" i="12"/>
  <c r="G394" i="12" s="1"/>
  <c r="I394" i="12" s="1"/>
  <c r="E393" i="12"/>
  <c r="G393" i="12" s="1"/>
  <c r="I393" i="12" s="1"/>
  <c r="E396" i="12"/>
  <c r="G396" i="12" s="1"/>
  <c r="I396" i="12" s="1"/>
  <c r="E397" i="12"/>
  <c r="G397" i="12" s="1"/>
  <c r="I397" i="12" s="1"/>
  <c r="Q506" i="11"/>
  <c r="Q511" i="11"/>
  <c r="Q513" i="11"/>
  <c r="Q510" i="11"/>
  <c r="Q516" i="11"/>
  <c r="E401" i="12"/>
  <c r="G401" i="12" s="1"/>
  <c r="I401" i="12" s="1"/>
  <c r="E402" i="12"/>
  <c r="G402" i="12" s="1"/>
  <c r="I402" i="12" s="1"/>
  <c r="E403" i="12"/>
  <c r="G403" i="12" s="1"/>
  <c r="I403" i="12" s="1"/>
  <c r="E405" i="12"/>
  <c r="G405" i="12" s="1"/>
  <c r="I405" i="12" s="1"/>
  <c r="E406" i="12"/>
  <c r="G406" i="12" s="1"/>
  <c r="I406" i="12" s="1"/>
  <c r="Q524" i="11"/>
  <c r="Q525" i="11"/>
  <c r="Q526" i="11"/>
  <c r="E408" i="12"/>
  <c r="G408" i="12" s="1"/>
  <c r="I408" i="12" s="1"/>
  <c r="Q528" i="11"/>
  <c r="E409" i="12"/>
  <c r="G409" i="12" s="1"/>
  <c r="I409" i="12" s="1"/>
  <c r="E410" i="12"/>
  <c r="G410" i="12" s="1"/>
  <c r="I410" i="12" s="1"/>
  <c r="E411" i="12"/>
  <c r="G411" i="12" s="1"/>
  <c r="I411" i="12" s="1"/>
  <c r="E412" i="12"/>
  <c r="G412" i="12" s="1"/>
  <c r="I412" i="12" s="1"/>
  <c r="E413" i="12"/>
  <c r="G413" i="12" s="1"/>
  <c r="I413" i="12" s="1"/>
  <c r="Q537" i="11"/>
  <c r="Q540" i="11"/>
  <c r="Q541" i="11"/>
  <c r="Q35" i="11"/>
  <c r="E306" i="12"/>
  <c r="G306" i="12" s="1"/>
  <c r="I306" i="12" s="1"/>
  <c r="E206" i="12"/>
  <c r="G206" i="12" s="1"/>
  <c r="I206" i="12" s="1"/>
  <c r="E351" i="12"/>
  <c r="G351" i="12" s="1"/>
  <c r="I351" i="12" s="1"/>
  <c r="E316" i="12"/>
  <c r="G316" i="12" s="1"/>
  <c r="I316" i="12" s="1"/>
  <c r="E188" i="12"/>
  <c r="G188" i="12" s="1"/>
  <c r="I188" i="12" s="1"/>
  <c r="E191" i="12"/>
  <c r="G191" i="12" s="1"/>
  <c r="I191" i="12" s="1"/>
  <c r="E330" i="12"/>
  <c r="G330" i="12" s="1"/>
  <c r="I330" i="12" s="1"/>
  <c r="E213" i="12"/>
  <c r="G213" i="12" s="1"/>
  <c r="I213" i="12" s="1"/>
  <c r="G5" i="11"/>
  <c r="E18" i="12" s="1"/>
  <c r="G18" i="12" s="1"/>
  <c r="I18" i="12" s="1"/>
  <c r="E404" i="12"/>
  <c r="G404" i="12" s="1"/>
  <c r="I404" i="12" s="1"/>
  <c r="E130" i="12"/>
  <c r="G130" i="12" s="1"/>
  <c r="I130" i="12" s="1"/>
  <c r="E225" i="12"/>
  <c r="G225" i="12" s="1"/>
  <c r="I225" i="12" s="1"/>
  <c r="E13" i="12"/>
  <c r="G13" i="12" s="1"/>
  <c r="I13" i="12" s="1"/>
  <c r="E30" i="12"/>
  <c r="G30" i="12" s="1"/>
  <c r="I30" i="12" s="1"/>
  <c r="E260" i="12"/>
  <c r="G260" i="12" s="1"/>
  <c r="I260" i="12" s="1"/>
  <c r="E143" i="12"/>
  <c r="G143" i="12" s="1"/>
  <c r="I143" i="12" s="1"/>
  <c r="E195" i="12"/>
  <c r="G195" i="12" s="1"/>
  <c r="I195" i="12" s="1"/>
  <c r="E17" i="12"/>
  <c r="G17" i="12" s="1"/>
  <c r="I17" i="12" s="1"/>
  <c r="E138" i="12"/>
  <c r="G138" i="12" s="1"/>
  <c r="I138" i="12" s="1"/>
  <c r="M218" i="11"/>
  <c r="M222" i="11"/>
  <c r="M230" i="11"/>
  <c r="M237" i="11"/>
  <c r="Q237" i="11" s="1"/>
  <c r="M463" i="11"/>
  <c r="M46" i="11"/>
  <c r="M72" i="11"/>
  <c r="Q72" i="11" s="1"/>
  <c r="M79" i="11"/>
  <c r="M84" i="11"/>
  <c r="M92" i="11"/>
  <c r="M110" i="11"/>
  <c r="M113" i="11"/>
  <c r="M120" i="11"/>
  <c r="M127" i="11"/>
  <c r="M133" i="11"/>
  <c r="Q133" i="11" s="1"/>
  <c r="M139" i="11"/>
  <c r="M142" i="11"/>
  <c r="M146" i="11"/>
  <c r="M150" i="11"/>
  <c r="M12" i="11"/>
  <c r="M96" i="11"/>
  <c r="M178" i="11"/>
  <c r="M193" i="11"/>
  <c r="Q193" i="11" s="1"/>
  <c r="K542" i="11"/>
  <c r="K544" i="11" s="1"/>
  <c r="M135" i="11"/>
  <c r="M141" i="11"/>
  <c r="M144" i="11"/>
  <c r="M147" i="11"/>
  <c r="M151" i="11"/>
  <c r="M153" i="11"/>
  <c r="M369" i="11"/>
  <c r="Q369" i="11" s="1"/>
  <c r="M371" i="11"/>
  <c r="Q371" i="11" s="1"/>
  <c r="M176" i="11"/>
  <c r="M184" i="11"/>
  <c r="M216" i="11"/>
  <c r="M220" i="11"/>
  <c r="M228" i="11"/>
  <c r="M234" i="11"/>
  <c r="M415" i="11"/>
  <c r="M295" i="11"/>
  <c r="M318" i="11"/>
  <c r="M324" i="11"/>
  <c r="M330" i="11"/>
  <c r="M334" i="11"/>
  <c r="L449" i="11"/>
  <c r="M449" i="11" s="1"/>
  <c r="M515" i="11"/>
  <c r="M239" i="11"/>
  <c r="M398" i="11"/>
  <c r="M404" i="11"/>
  <c r="M445" i="11"/>
  <c r="M258" i="11"/>
  <c r="M267" i="11"/>
  <c r="M346" i="11"/>
  <c r="M468" i="11"/>
  <c r="M484" i="11"/>
  <c r="M492" i="11"/>
  <c r="Q492" i="11" s="1"/>
  <c r="M504" i="11"/>
  <c r="Q504" i="11" s="1"/>
  <c r="M472" i="11"/>
  <c r="M519" i="11"/>
  <c r="M99" i="11"/>
  <c r="E12" i="12"/>
  <c r="G12" i="12" s="1"/>
  <c r="M297" i="11"/>
  <c r="M13" i="11"/>
  <c r="P103" i="11"/>
  <c r="M106" i="11"/>
  <c r="Q106" i="11" s="1"/>
  <c r="N542" i="11"/>
  <c r="N544" i="11" s="1"/>
  <c r="M194" i="11"/>
  <c r="M315" i="11"/>
  <c r="M316" i="11"/>
  <c r="M320" i="11"/>
  <c r="M322" i="11"/>
  <c r="M327" i="11"/>
  <c r="M339" i="11"/>
  <c r="Q339" i="11" s="1"/>
  <c r="M345" i="11"/>
  <c r="M350" i="11"/>
  <c r="M338" i="11"/>
  <c r="Q338" i="11" s="1"/>
  <c r="M379" i="11"/>
  <c r="M353" i="11"/>
  <c r="M351" i="11"/>
  <c r="M414" i="11"/>
  <c r="M423" i="11"/>
  <c r="M444" i="11"/>
  <c r="P448" i="11"/>
  <c r="M452" i="11"/>
  <c r="L457" i="11"/>
  <c r="M514" i="11"/>
  <c r="Q514" i="11" s="1"/>
  <c r="I13" i="13"/>
  <c r="I21" i="13"/>
  <c r="I29" i="13"/>
  <c r="I53" i="13"/>
  <c r="I61" i="13"/>
  <c r="I69" i="13"/>
  <c r="I101" i="13"/>
  <c r="I109" i="13"/>
  <c r="I117" i="13"/>
  <c r="I125" i="13"/>
  <c r="I146" i="13"/>
  <c r="I37" i="13"/>
  <c r="I45" i="13"/>
  <c r="I77" i="13"/>
  <c r="I85" i="13"/>
  <c r="I93" i="13"/>
  <c r="I130" i="13"/>
  <c r="I16" i="13"/>
  <c r="I24" i="13"/>
  <c r="I32" i="13"/>
  <c r="I40" i="13"/>
  <c r="I48" i="13"/>
  <c r="I56" i="13"/>
  <c r="I64" i="13"/>
  <c r="I72" i="13"/>
  <c r="I80" i="13"/>
  <c r="I88" i="13"/>
  <c r="I96" i="13"/>
  <c r="I104" i="13"/>
  <c r="I112" i="13"/>
  <c r="I120" i="13"/>
  <c r="I128" i="13"/>
  <c r="I135" i="13"/>
  <c r="I140" i="13"/>
  <c r="I145" i="13"/>
  <c r="I167" i="13"/>
  <c r="I171" i="13"/>
  <c r="I175" i="13"/>
  <c r="I179" i="13"/>
  <c r="I133" i="13"/>
  <c r="I149" i="13"/>
  <c r="I273" i="13"/>
  <c r="I155" i="13"/>
  <c r="I159" i="13"/>
  <c r="I163" i="13"/>
  <c r="I183" i="13"/>
  <c r="I187" i="13"/>
  <c r="I269" i="13"/>
  <c r="I271" i="13"/>
  <c r="I137" i="13"/>
  <c r="I153" i="13"/>
  <c r="I157" i="13"/>
  <c r="I161" i="13"/>
  <c r="I165" i="13"/>
  <c r="I169" i="13"/>
  <c r="I173" i="13"/>
  <c r="I177" i="13"/>
  <c r="I181" i="13"/>
  <c r="I185" i="13"/>
  <c r="I189" i="13"/>
  <c r="I281" i="13"/>
  <c r="I289" i="13"/>
  <c r="I296" i="13"/>
  <c r="I305" i="13"/>
  <c r="I193" i="13"/>
  <c r="I197" i="13"/>
  <c r="I201" i="13"/>
  <c r="I205" i="13"/>
  <c r="I209" i="13"/>
  <c r="I213" i="13"/>
  <c r="I217" i="13"/>
  <c r="I221" i="13"/>
  <c r="I225" i="13"/>
  <c r="I229" i="13"/>
  <c r="I233" i="13"/>
  <c r="I237" i="13"/>
  <c r="I241" i="13"/>
  <c r="I245" i="13"/>
  <c r="I249" i="13"/>
  <c r="I253" i="13"/>
  <c r="I257" i="13"/>
  <c r="I261" i="13"/>
  <c r="I265" i="13"/>
  <c r="I275" i="13"/>
  <c r="I283" i="13"/>
  <c r="I287" i="13"/>
  <c r="I291" i="13"/>
  <c r="I295" i="13"/>
  <c r="I299" i="13"/>
  <c r="I303" i="13"/>
  <c r="I307" i="13"/>
  <c r="I310" i="13"/>
  <c r="I313" i="13"/>
  <c r="I317" i="13"/>
  <c r="I321" i="13"/>
  <c r="I325" i="13"/>
  <c r="I329" i="13"/>
  <c r="I333" i="13"/>
  <c r="I337" i="13"/>
  <c r="I341" i="13"/>
  <c r="I345" i="13"/>
  <c r="I349" i="13"/>
  <c r="I353" i="13"/>
  <c r="I357" i="13"/>
  <c r="I361" i="13"/>
  <c r="I365" i="13"/>
  <c r="I369" i="13"/>
  <c r="I373" i="13"/>
  <c r="I377" i="13"/>
  <c r="I381" i="13"/>
  <c r="I385" i="13"/>
  <c r="I389" i="13"/>
  <c r="I393" i="13"/>
  <c r="I397" i="13"/>
  <c r="I399" i="13"/>
  <c r="I401" i="13"/>
  <c r="I421" i="13"/>
  <c r="I422" i="13"/>
  <c r="I407" i="13"/>
  <c r="F363" i="1" l="1"/>
  <c r="F364" i="1" s="1"/>
  <c r="F369" i="1" s="1"/>
  <c r="D18" i="17"/>
  <c r="D29" i="17" s="1"/>
  <c r="D30" i="17" s="1"/>
  <c r="D32" i="17" s="1"/>
  <c r="D49" i="17" s="1"/>
  <c r="D52" i="17" s="1"/>
  <c r="C50" i="17" s="1"/>
  <c r="C31" i="14"/>
  <c r="C32" i="14" s="1"/>
  <c r="C34" i="14" s="1"/>
  <c r="C54" i="14" s="1"/>
  <c r="C58" i="14" s="1"/>
  <c r="B44" i="14"/>
  <c r="B54" i="14" s="1"/>
  <c r="C34" i="17"/>
  <c r="C40" i="17" s="1"/>
  <c r="C49" i="17" s="1"/>
  <c r="D15" i="16"/>
  <c r="D26" i="16" s="1"/>
  <c r="F48" i="16" s="1"/>
  <c r="J28" i="7"/>
  <c r="Q368" i="11"/>
  <c r="E293" i="12"/>
  <c r="G293" i="12" s="1"/>
  <c r="I293" i="12" s="1"/>
  <c r="Q169" i="11"/>
  <c r="E135" i="12"/>
  <c r="G135" i="12" s="1"/>
  <c r="I135" i="12" s="1"/>
  <c r="Q194" i="11"/>
  <c r="Q330" i="11"/>
  <c r="Q13" i="11"/>
  <c r="Q258" i="11"/>
  <c r="Q239" i="11"/>
  <c r="Q216" i="11"/>
  <c r="Q150" i="11"/>
  <c r="Q110" i="11"/>
  <c r="Q113" i="11"/>
  <c r="Q79" i="11"/>
  <c r="Q144" i="11"/>
  <c r="Q230" i="11"/>
  <c r="Q324" i="11"/>
  <c r="Q141" i="11"/>
  <c r="Q127" i="11"/>
  <c r="Q422" i="11"/>
  <c r="Q447" i="11"/>
  <c r="Q411" i="11"/>
  <c r="Q403" i="11"/>
  <c r="Q534" i="11"/>
  <c r="Q536" i="11"/>
  <c r="Q530" i="11"/>
  <c r="Q521" i="11"/>
  <c r="Q505" i="11"/>
  <c r="Q498" i="11"/>
  <c r="Q490" i="11"/>
  <c r="Q486" i="11"/>
  <c r="Q469" i="11"/>
  <c r="Q465" i="11"/>
  <c r="Q461" i="11"/>
  <c r="Q343" i="11"/>
  <c r="Q326" i="11"/>
  <c r="Q317" i="11"/>
  <c r="Q312" i="11"/>
  <c r="Q386" i="11"/>
  <c r="Q302" i="11"/>
  <c r="Q291" i="11"/>
  <c r="Q268" i="11"/>
  <c r="Q264" i="11"/>
  <c r="Q254" i="11"/>
  <c r="Q249" i="11"/>
  <c r="Q245" i="11"/>
  <c r="Q243" i="11"/>
  <c r="Q240" i="11"/>
  <c r="Q211" i="11"/>
  <c r="Q205" i="11"/>
  <c r="Q203" i="11"/>
  <c r="Q199" i="11"/>
  <c r="Q186" i="11"/>
  <c r="Q182" i="11"/>
  <c r="Q165" i="11"/>
  <c r="Q156" i="11"/>
  <c r="Q210" i="11"/>
  <c r="Q274" i="11"/>
  <c r="Q154" i="11"/>
  <c r="Q145" i="11"/>
  <c r="Q114" i="11"/>
  <c r="Q101" i="11"/>
  <c r="Q102" i="11"/>
  <c r="Q138" i="11"/>
  <c r="Q89" i="11"/>
  <c r="Q137" i="11"/>
  <c r="Q76" i="11"/>
  <c r="Q70" i="11"/>
  <c r="Q57" i="11"/>
  <c r="Q501" i="11"/>
  <c r="Q44" i="11"/>
  <c r="Q40" i="11"/>
  <c r="Q26" i="11"/>
  <c r="Q301" i="11"/>
  <c r="Q25" i="11"/>
  <c r="Q74" i="11"/>
  <c r="Q10" i="11"/>
  <c r="Q481" i="11"/>
  <c r="Q470" i="11"/>
  <c r="Q232" i="11"/>
  <c r="Q523" i="11"/>
  <c r="Q527" i="11"/>
  <c r="Q522" i="11"/>
  <c r="Q517" i="11"/>
  <c r="Q500" i="11"/>
  <c r="Q495" i="11"/>
  <c r="Q491" i="11"/>
  <c r="Q487" i="11"/>
  <c r="Q483" i="11"/>
  <c r="Q476" i="11"/>
  <c r="Q395" i="11"/>
  <c r="Q365" i="11"/>
  <c r="Q356" i="11"/>
  <c r="Q313" i="11"/>
  <c r="Q308" i="11"/>
  <c r="Q296" i="11"/>
  <c r="Q292" i="11"/>
  <c r="Q227" i="11"/>
  <c r="Q217" i="11"/>
  <c r="Q212" i="11"/>
  <c r="Q206" i="11"/>
  <c r="Q204" i="11"/>
  <c r="Q200" i="11"/>
  <c r="Q187" i="11"/>
  <c r="Q183" i="11"/>
  <c r="Q160" i="11"/>
  <c r="Q155" i="11"/>
  <c r="Q152" i="11"/>
  <c r="Q124" i="11"/>
  <c r="Q198" i="11"/>
  <c r="Q270" i="11"/>
  <c r="Q373" i="11"/>
  <c r="Q149" i="11"/>
  <c r="Q129" i="11"/>
  <c r="Q121" i="11"/>
  <c r="Q111" i="11"/>
  <c r="Q85" i="11"/>
  <c r="Q81" i="11"/>
  <c r="Q77" i="11"/>
  <c r="Q66" i="11"/>
  <c r="Q420" i="11"/>
  <c r="Q417" i="11"/>
  <c r="Q412" i="11"/>
  <c r="Q410" i="11"/>
  <c r="Q402" i="11"/>
  <c r="Q181" i="11"/>
  <c r="Q279" i="11"/>
  <c r="Q5" i="11"/>
  <c r="Q233" i="11"/>
  <c r="Q391" i="11"/>
  <c r="Q533" i="11"/>
  <c r="Q529" i="11"/>
  <c r="Q497" i="11"/>
  <c r="Q493" i="11"/>
  <c r="Q460" i="11"/>
  <c r="Q455" i="11"/>
  <c r="Q429" i="11"/>
  <c r="Q421" i="11"/>
  <c r="Q416" i="11"/>
  <c r="Q413" i="11"/>
  <c r="Q405" i="11"/>
  <c r="Q401" i="11"/>
  <c r="Q397" i="11"/>
  <c r="Q393" i="11"/>
  <c r="Q380" i="11"/>
  <c r="Q188" i="11"/>
  <c r="Q367" i="11"/>
  <c r="Q363" i="11"/>
  <c r="Q359" i="11"/>
  <c r="Q349" i="11"/>
  <c r="Q342" i="11"/>
  <c r="Q311" i="11"/>
  <c r="Q300" i="11"/>
  <c r="Q294" i="11"/>
  <c r="Q290" i="11"/>
  <c r="Q285" i="11"/>
  <c r="Q277" i="11"/>
  <c r="Q262" i="11"/>
  <c r="Q257" i="11"/>
  <c r="Q252" i="11"/>
  <c r="Q244" i="11"/>
  <c r="Q242" i="11"/>
  <c r="Q473" i="11"/>
  <c r="Q223" i="11"/>
  <c r="Q215" i="11"/>
  <c r="Q208" i="11"/>
  <c r="Q214" i="11"/>
  <c r="Q202" i="11"/>
  <c r="Q191" i="11"/>
  <c r="Q174" i="11"/>
  <c r="Q162" i="11"/>
  <c r="Q158" i="11"/>
  <c r="Q32" i="11"/>
  <c r="Q171" i="11"/>
  <c r="Q225" i="11"/>
  <c r="Q280" i="11"/>
  <c r="Q226" i="11"/>
  <c r="Q131" i="11"/>
  <c r="Q109" i="11"/>
  <c r="Q105" i="11"/>
  <c r="Q97" i="11"/>
  <c r="Q508" i="11"/>
  <c r="Q87" i="11"/>
  <c r="Q83" i="11"/>
  <c r="Q56" i="11"/>
  <c r="Q52" i="11"/>
  <c r="Q43" i="11"/>
  <c r="Q34" i="11"/>
  <c r="Q453" i="11"/>
  <c r="Q170" i="11"/>
  <c r="Q23" i="11"/>
  <c r="Q17" i="11"/>
  <c r="Q190" i="11"/>
  <c r="Q329" i="11"/>
  <c r="Q446" i="11"/>
  <c r="Q440" i="11"/>
  <c r="J542" i="11"/>
  <c r="F12" i="12"/>
  <c r="H12" i="12" s="1"/>
  <c r="I12" i="12" s="1"/>
  <c r="Q11" i="11"/>
  <c r="Q31" i="11"/>
  <c r="Q466" i="11"/>
  <c r="Q462" i="11"/>
  <c r="Q458" i="11"/>
  <c r="Q442" i="11"/>
  <c r="Q437" i="11"/>
  <c r="Q427" i="11"/>
  <c r="Q424" i="11"/>
  <c r="Q418" i="11"/>
  <c r="Q382" i="11"/>
  <c r="Q372" i="11"/>
  <c r="Q347" i="11"/>
  <c r="Q269" i="11"/>
  <c r="Q259" i="11"/>
  <c r="Q255" i="11"/>
  <c r="Q250" i="11"/>
  <c r="Q246" i="11"/>
  <c r="Q91" i="11"/>
  <c r="Q71" i="11"/>
  <c r="Q49" i="11"/>
  <c r="Q98" i="11"/>
  <c r="Q67" i="11"/>
  <c r="Q58" i="11"/>
  <c r="Q53" i="11"/>
  <c r="Q50" i="11"/>
  <c r="Q41" i="11"/>
  <c r="Q304" i="11"/>
  <c r="Q119" i="11"/>
  <c r="Q21" i="11"/>
  <c r="Q88" i="11"/>
  <c r="Q9" i="11"/>
  <c r="Q8" i="11"/>
  <c r="Q503" i="11"/>
  <c r="Q236" i="11"/>
  <c r="Q6" i="11"/>
  <c r="Q520" i="11"/>
  <c r="Q235" i="11"/>
  <c r="Q394" i="11"/>
  <c r="Q385" i="11"/>
  <c r="Q377" i="11"/>
  <c r="Q374" i="11"/>
  <c r="Q364" i="11"/>
  <c r="Q360" i="11"/>
  <c r="Q355" i="11"/>
  <c r="Q172" i="11"/>
  <c r="Q325" i="11"/>
  <c r="Q163" i="11"/>
  <c r="Q261" i="11"/>
  <c r="Q370" i="11"/>
  <c r="Q518" i="11"/>
  <c r="Q502" i="11"/>
  <c r="Q496" i="11"/>
  <c r="Q488" i="11"/>
  <c r="Q454" i="11"/>
  <c r="Q443" i="11"/>
  <c r="Q438" i="11"/>
  <c r="Q428" i="11"/>
  <c r="Q425" i="11"/>
  <c r="Q419" i="11"/>
  <c r="Q396" i="11"/>
  <c r="Q392" i="11"/>
  <c r="Q383" i="11"/>
  <c r="Q362" i="11"/>
  <c r="Q357" i="11"/>
  <c r="Q352" i="11"/>
  <c r="Q348" i="11"/>
  <c r="Q344" i="11"/>
  <c r="Q340" i="11"/>
  <c r="Q335" i="11"/>
  <c r="Q323" i="11"/>
  <c r="Q305" i="11"/>
  <c r="Q299" i="11"/>
  <c r="Q293" i="11"/>
  <c r="Q289" i="11"/>
  <c r="Q282" i="11"/>
  <c r="Q276" i="11"/>
  <c r="Q271" i="11"/>
  <c r="Q256" i="11"/>
  <c r="Q251" i="11"/>
  <c r="Q54" i="11"/>
  <c r="Q263" i="11"/>
  <c r="Q207" i="11"/>
  <c r="Q209" i="11"/>
  <c r="Q201" i="11"/>
  <c r="Q173" i="11"/>
  <c r="Q157" i="11"/>
  <c r="Q341" i="11"/>
  <c r="Q93" i="11"/>
  <c r="Q175" i="11"/>
  <c r="Q229" i="11"/>
  <c r="Q314" i="11"/>
  <c r="Q456" i="11"/>
  <c r="Q143" i="11"/>
  <c r="Q140" i="11"/>
  <c r="Q130" i="11"/>
  <c r="Q126" i="11"/>
  <c r="Q16" i="11"/>
  <c r="Q112" i="11"/>
  <c r="Q108" i="11"/>
  <c r="Q104" i="11"/>
  <c r="Q507" i="11"/>
  <c r="Q86" i="11"/>
  <c r="Q82" i="11"/>
  <c r="Q78" i="11"/>
  <c r="Q73" i="11"/>
  <c r="Q68" i="11"/>
  <c r="Q55" i="11"/>
  <c r="Q51" i="11"/>
  <c r="Q42" i="11"/>
  <c r="Q125" i="11"/>
  <c r="Q309" i="11"/>
  <c r="Q164" i="11"/>
  <c r="Q15" i="11"/>
  <c r="Q115" i="11"/>
  <c r="Q512" i="11"/>
  <c r="Q479" i="11"/>
  <c r="Q332" i="11"/>
  <c r="Q499" i="11"/>
  <c r="Q284" i="11"/>
  <c r="Q415" i="11"/>
  <c r="Q519" i="11"/>
  <c r="Q219" i="11"/>
  <c r="Q423" i="11"/>
  <c r="Q484" i="11"/>
  <c r="Q404" i="11"/>
  <c r="Q315" i="11"/>
  <c r="Q472" i="11"/>
  <c r="Q468" i="11"/>
  <c r="Q146" i="11"/>
  <c r="Q92" i="11"/>
  <c r="Q222" i="11"/>
  <c r="Q283" i="11"/>
  <c r="Q414" i="11"/>
  <c r="Q327" i="11"/>
  <c r="Q298" i="11"/>
  <c r="Q535" i="11"/>
  <c r="Q531" i="11"/>
  <c r="Q471" i="11"/>
  <c r="Q399" i="11"/>
  <c r="Q387" i="11"/>
  <c r="Q38" i="11"/>
  <c r="Q253" i="11"/>
  <c r="Q286" i="11"/>
  <c r="Q224" i="11"/>
  <c r="Q37" i="11"/>
  <c r="Q351" i="11"/>
  <c r="Q350" i="11"/>
  <c r="Q322" i="11"/>
  <c r="Q103" i="11"/>
  <c r="Q318" i="11"/>
  <c r="Q96" i="11"/>
  <c r="Q489" i="11"/>
  <c r="Q485" i="11"/>
  <c r="Q478" i="11"/>
  <c r="Q384" i="11"/>
  <c r="Q179" i="11"/>
  <c r="Q238" i="11"/>
  <c r="Q444" i="11"/>
  <c r="Q353" i="11"/>
  <c r="Q345" i="11"/>
  <c r="Q320" i="11"/>
  <c r="Q99" i="11"/>
  <c r="Q267" i="11"/>
  <c r="Q398" i="11"/>
  <c r="Q334" i="11"/>
  <c r="Q295" i="11"/>
  <c r="Q220" i="11"/>
  <c r="Q147" i="11"/>
  <c r="Q139" i="11"/>
  <c r="Q539" i="11"/>
  <c r="Q532" i="11"/>
  <c r="Q408" i="11"/>
  <c r="Q375" i="11"/>
  <c r="Q432" i="11"/>
  <c r="Q64" i="11"/>
  <c r="Q189" i="11"/>
  <c r="Q75" i="11"/>
  <c r="Q39" i="11"/>
  <c r="Q234" i="11"/>
  <c r="Q46" i="11"/>
  <c r="Q452" i="11"/>
  <c r="Q346" i="11"/>
  <c r="Q228" i="11"/>
  <c r="Q135" i="11"/>
  <c r="Q142" i="11"/>
  <c r="Q120" i="11"/>
  <c r="Q84" i="11"/>
  <c r="Q379" i="11"/>
  <c r="Q316" i="11"/>
  <c r="Q463" i="11"/>
  <c r="Q218" i="11"/>
  <c r="Q448" i="11"/>
  <c r="Q515" i="11"/>
  <c r="Q445" i="11"/>
  <c r="Q176" i="11"/>
  <c r="Q151" i="11"/>
  <c r="Q178" i="11"/>
  <c r="Q12" i="11"/>
  <c r="Q153" i="11"/>
  <c r="Q184" i="11"/>
  <c r="Q449" i="11"/>
  <c r="Q297" i="11"/>
  <c r="G542" i="11"/>
  <c r="P542" i="11"/>
  <c r="M457" i="11"/>
  <c r="Q457" i="11" s="1"/>
  <c r="C52" i="17" l="1"/>
  <c r="B56" i="14"/>
  <c r="B58" i="14" s="1"/>
  <c r="L59" i="14" s="1"/>
  <c r="E58" i="14"/>
  <c r="F372" i="1"/>
  <c r="F36" i="1" s="1"/>
  <c r="C37" i="16" s="1"/>
  <c r="C38" i="16" s="1"/>
  <c r="I31" i="7"/>
  <c r="I34" i="7" s="1"/>
  <c r="J39" i="7" s="1"/>
  <c r="I38" i="7" s="1"/>
  <c r="C31" i="7"/>
  <c r="J29" i="7"/>
  <c r="F29" i="7"/>
  <c r="G543" i="11"/>
  <c r="M542" i="11"/>
  <c r="M543" i="11" s="1"/>
  <c r="F37" i="1" l="1"/>
  <c r="F101" i="1"/>
  <c r="I38" i="15" s="1"/>
  <c r="L542" i="11"/>
  <c r="L3" i="11"/>
  <c r="O542" i="11"/>
  <c r="O3" i="11"/>
  <c r="F38" i="15" l="1"/>
  <c r="F40" i="15" s="1"/>
  <c r="I40" i="15"/>
  <c r="F102" i="1"/>
  <c r="I103" i="1"/>
  <c r="F103" i="1" l="1"/>
  <c r="F525" i="1" s="1"/>
  <c r="K88" i="1"/>
  <c r="F48" i="15"/>
  <c r="F53" i="15"/>
  <c r="F54" i="15"/>
  <c r="I48" i="15"/>
  <c r="I53" i="15"/>
  <c r="I54" i="15"/>
  <c r="F113" i="1" l="1"/>
  <c r="F528" i="1" s="1"/>
  <c r="F116" i="1" s="1"/>
  <c r="F189" i="1"/>
  <c r="F191" i="1" s="1"/>
  <c r="F197" i="1" s="1"/>
  <c r="F198" i="1" s="1"/>
  <c r="F30" i="1" s="1"/>
  <c r="C31" i="16" s="1"/>
  <c r="C32" i="16" s="1"/>
  <c r="C47" i="16" s="1"/>
  <c r="E48" i="16" s="1"/>
  <c r="F527" i="1"/>
  <c r="F115" i="1" s="1"/>
  <c r="F31" i="1" l="1"/>
  <c r="J31" i="1" l="1"/>
  <c r="F46" i="1"/>
  <c r="F1" i="1" s="1"/>
</calcChain>
</file>

<file path=xl/comments1.xml><?xml version="1.0" encoding="utf-8"?>
<comments xmlns="http://schemas.openxmlformats.org/spreadsheetml/2006/main">
  <authors>
    <author>Author</author>
  </authors>
  <commentList>
    <comment ref="K9" authorId="0" shapeId="0">
      <text>
        <r>
          <rPr>
            <b/>
            <sz val="9"/>
            <color indexed="81"/>
            <rFont val="Tahoma"/>
            <family val="2"/>
          </rPr>
          <t>Author:</t>
        </r>
        <r>
          <rPr>
            <sz val="9"/>
            <color indexed="81"/>
            <rFont val="Tahoma"/>
            <family val="2"/>
          </rPr>
          <t xml:space="preserve">
Debit of Local Raw Material Minus from Purchase</t>
        </r>
      </text>
    </comment>
    <comment ref="K30" authorId="0" shapeId="0">
      <text>
        <r>
          <rPr>
            <b/>
            <sz val="9"/>
            <color indexed="81"/>
            <rFont val="Tahoma"/>
            <family val="2"/>
          </rPr>
          <t>Author:</t>
        </r>
        <r>
          <rPr>
            <sz val="9"/>
            <color indexed="81"/>
            <rFont val="Tahoma"/>
            <family val="2"/>
          </rPr>
          <t xml:space="preserve">
Debit of Local Raw Material Minus from Purchase</t>
        </r>
      </text>
    </comment>
  </commentList>
</comments>
</file>

<file path=xl/sharedStrings.xml><?xml version="1.0" encoding="utf-8"?>
<sst xmlns="http://schemas.openxmlformats.org/spreadsheetml/2006/main" count="5389" uniqueCount="2069">
  <si>
    <t>Hardoli Paper Mills Ltd.</t>
  </si>
  <si>
    <t>1st Floor Krishna Kunj</t>
  </si>
  <si>
    <t>Bhavsar Chowk C A Road</t>
  </si>
  <si>
    <t>Nagpur</t>
  </si>
  <si>
    <t>CIN: L21010MH1995PLCO85883</t>
  </si>
  <si>
    <t>Trial Balance</t>
  </si>
  <si>
    <t>1-Apr-2019 to 31-Mar-2020</t>
  </si>
  <si>
    <t/>
  </si>
  <si>
    <t>Hardoli Paper Mills Ltd. - (19-20)</t>
  </si>
  <si>
    <t>Particulars</t>
  </si>
  <si>
    <t>Closing Balance</t>
  </si>
  <si>
    <t>Debit</t>
  </si>
  <si>
    <t>Credit</t>
  </si>
  <si>
    <t>Dr</t>
  </si>
  <si>
    <t>Cr</t>
  </si>
  <si>
    <t>Dr Diff</t>
  </si>
  <si>
    <t>Cr Diff</t>
  </si>
  <si>
    <t>Total Diff</t>
  </si>
  <si>
    <t>Opening Stock</t>
  </si>
  <si>
    <t>Aditya Freight Carriers</t>
  </si>
  <si>
    <t>Advance Income Tax (A.Y. 2019-20)</t>
  </si>
  <si>
    <t>Advance Income Tax (A.Y. 2020-21)</t>
  </si>
  <si>
    <t>Advertisement Expenses</t>
  </si>
  <si>
    <t>AJANTA KRAFT</t>
  </si>
  <si>
    <t>Akhilesh Automobiles</t>
  </si>
  <si>
    <t>A K R G &amp; Associates, Nagpur</t>
  </si>
  <si>
    <t>ALIGN COMPONENTS (P) LTD.,</t>
  </si>
  <si>
    <t>ALIGN COMPONENTS (P) LTD., (BU-II)</t>
  </si>
  <si>
    <t>Ambuja Cements Ltd.</t>
  </si>
  <si>
    <t>Amol Kakade</t>
  </si>
  <si>
    <t>AMRUTA ENTERPRISES, NAGPUR</t>
  </si>
  <si>
    <t>ANAMIKA TRADERS</t>
  </si>
  <si>
    <t>AnilKumar M. Lakhotiya (Loan A/c)</t>
  </si>
  <si>
    <t>Anita Lakhotiya</t>
  </si>
  <si>
    <t>Ankur Seeds Pvt. Ltd., Nagpur</t>
  </si>
  <si>
    <t>Annual Custody Fees</t>
  </si>
  <si>
    <t>Annual Listing Fees</t>
  </si>
  <si>
    <t>Aru Technocratics</t>
  </si>
  <si>
    <t>Assessment Refund</t>
  </si>
  <si>
    <t>Audit Expenses (Darak)</t>
  </si>
  <si>
    <t>Audit Expenses (Walter)</t>
  </si>
  <si>
    <t>Audit Fees Payable</t>
  </si>
  <si>
    <t>Bad Debts</t>
  </si>
  <si>
    <t>Balaji Enterprises</t>
  </si>
  <si>
    <t>Baljit Kaur Manindersingh Saini</t>
  </si>
  <si>
    <t>Bank Commission &amp; Charges</t>
  </si>
  <si>
    <t>Bank Facility Charges</t>
  </si>
  <si>
    <t>BANK GUARANTEE CHARGES</t>
  </si>
  <si>
    <t>Bank Loan Processing Fees</t>
  </si>
  <si>
    <t>Bearing Centre</t>
  </si>
  <si>
    <t>BHOLANATH MITRA</t>
  </si>
  <si>
    <t>Boiler Fireman  (Feeding Charges)</t>
  </si>
  <si>
    <t>BOOKS NEWS PAPER &amp; PERODICALS</t>
  </si>
  <si>
    <t>BUILDING</t>
  </si>
  <si>
    <t>Capital Reserves</t>
  </si>
  <si>
    <t>Carriage Inward : Machinery Rep&amp;Maint</t>
  </si>
  <si>
    <t>Carriage Inward (Sale)</t>
  </si>
  <si>
    <t>Carriage Inward { Store }</t>
  </si>
  <si>
    <t>Carriage Outward Machinery</t>
  </si>
  <si>
    <t>CASH</t>
  </si>
  <si>
    <t>CGST @ 9% ON OTHER PURCHASE</t>
  </si>
  <si>
    <t>CGST Payable ( F.Y. 2019-20 )</t>
  </si>
  <si>
    <t>Chandak Nursing Home</t>
  </si>
  <si>
    <t>CHANDRA COAL PVT.LTD.</t>
  </si>
  <si>
    <t>CHANDRA COAL PVT. LTD. (SALE)</t>
  </si>
  <si>
    <t>CHANDRA SALES CORPORATION(SALE)</t>
  </si>
  <si>
    <t>Chandrashekhar Balki</t>
  </si>
  <si>
    <t>Chemical Purchase</t>
  </si>
  <si>
    <t>CHOWDHARY PACKAGERS</t>
  </si>
  <si>
    <t>CIPARO B.V.</t>
  </si>
  <si>
    <t>Clearing &amp; Forwarding on WP Import</t>
  </si>
  <si>
    <t>Clearing &amp; Fwd. Chgs.on Import M/c</t>
  </si>
  <si>
    <t>Coal Liasioning Charges</t>
  </si>
  <si>
    <t>Coal Purchase</t>
  </si>
  <si>
    <t>COMMISSION ON SALES ACCOUNT</t>
  </si>
  <si>
    <t>COMMISSION ON SALES (HSN/SAC : 9961)</t>
  </si>
  <si>
    <t>Computer</t>
  </si>
  <si>
    <t>Consultation Charges</t>
  </si>
  <si>
    <t>CONTAINER CORPORATION OF INDIA LTD</t>
  </si>
  <si>
    <t>Contribution to ESIC Payable</t>
  </si>
  <si>
    <t>Contribution to P.F. Payable</t>
  </si>
  <si>
    <t>CONVEYANCE EXPENSES</t>
  </si>
  <si>
    <t>CONVEYANCE TO DIRECTORS</t>
  </si>
  <si>
    <t>COSMIC CORPORATION</t>
  </si>
  <si>
    <t>COURIER &amp; POSTAGE CHARGES</t>
  </si>
  <si>
    <t>CSR Expenses</t>
  </si>
  <si>
    <t>CST Tax Expenses</t>
  </si>
  <si>
    <t>Deekay &amp; Company</t>
  </si>
  <si>
    <t>Deferred Tax Liabilities (Net)</t>
  </si>
  <si>
    <t>Deposit for  COAL to MSMC</t>
  </si>
  <si>
    <t>Deposit for LPG Domestic Cylender Connection</t>
  </si>
  <si>
    <t>Deposits for Office Premises</t>
  </si>
  <si>
    <t>Deposits for Telephone</t>
  </si>
  <si>
    <t>Deposits Group Gratuity Fund</t>
  </si>
  <si>
    <t>Deposit with Import (OCC)</t>
  </si>
  <si>
    <t>Deposit with M.S.E.B.</t>
  </si>
  <si>
    <t>Deposit With SBI for MPCB 5 Lac BG [Rs.1,25,000]</t>
  </si>
  <si>
    <t>Depreciation Electrical Installation</t>
  </si>
  <si>
    <t>Depreciation on Building</t>
  </si>
  <si>
    <t>Depreciation on Computer</t>
  </si>
  <si>
    <t>Depreciation on Furniture &amp; Fixture</t>
  </si>
  <si>
    <t>Depreciation on Office Equipment</t>
  </si>
  <si>
    <t>Depreciation on Plant &amp; Machinery</t>
  </si>
  <si>
    <t>Depreciation on Vehicle</t>
  </si>
  <si>
    <t>DEV CHEMICAL</t>
  </si>
  <si>
    <t>Dhawal Dinesh Kawade</t>
  </si>
  <si>
    <t>Directors Sitting Fees</t>
  </si>
  <si>
    <t>Discount &amp; Billing Diff Account (HSN/SAC: 4804)</t>
  </si>
  <si>
    <t>DISTRIBUTION LOGISTICS INFRASTRUCTURE PVT.LTD.</t>
  </si>
  <si>
    <t>Donation Account</t>
  </si>
  <si>
    <t>Drashta Power Consultants Pvt. Ltd.</t>
  </si>
  <si>
    <t>DURGA INDUSTRIAL  SECURITY, NAGPUR</t>
  </si>
  <si>
    <t>Durga Traders</t>
  </si>
  <si>
    <t>Electrical Installation</t>
  </si>
  <si>
    <t>Equity Share Capital</t>
  </si>
  <si>
    <t>ESIC (Employees State Insurance Corpn)</t>
  </si>
  <si>
    <t>E-Voting Expenses</t>
  </si>
  <si>
    <t>Export Expenses for Clearing &amp; Forwarding</t>
  </si>
  <si>
    <t>EXPORT SALE</t>
  </si>
  <si>
    <t>Factory Cleaning Charges</t>
  </si>
  <si>
    <t>Factory Misc Expenses</t>
  </si>
  <si>
    <t>Factory Power &amp; Electricity Charges</t>
  </si>
  <si>
    <t>Factory Tea &amp; Other Expenses</t>
  </si>
  <si>
    <t>Fees to Registrar</t>
  </si>
  <si>
    <t>Finished Goods Expenses</t>
  </si>
  <si>
    <t>Finished Goods Packing &amp; Allied Charges</t>
  </si>
  <si>
    <t>FINISHED GOODS PACKING &amp; ALLIED PAYABLE</t>
  </si>
  <si>
    <t>For BG 350000 for WCL :A/c 34928264708</t>
  </si>
  <si>
    <t>For B G Rs.58000/- (AC 325726636355)</t>
  </si>
  <si>
    <t>For BG[MSEB] 12.50 LAC :A/c 35633066338</t>
  </si>
  <si>
    <t>Foreign Exchange Fluctuation</t>
  </si>
  <si>
    <t>Franking Charges for Import O.C.C.</t>
  </si>
  <si>
    <t>Franking Charges Payable Ag Import OCC</t>
  </si>
  <si>
    <t>Freehold Land</t>
  </si>
  <si>
    <t>FREIGHT ( SALES)</t>
  </si>
  <si>
    <t>Furniture &amp; Fixture</t>
  </si>
  <si>
    <t>Ganga Iron &amp; Steel Trading Co.Ltd.</t>
  </si>
  <si>
    <t>General Reserves</t>
  </si>
  <si>
    <t>Gratuity to Staff</t>
  </si>
  <si>
    <t>Green Agro Industries</t>
  </si>
  <si>
    <t>GST Annual Filing Chgs. FY 17-18</t>
  </si>
  <si>
    <t>GST AUDIT FEES</t>
  </si>
  <si>
    <t>GST E-Return Charges</t>
  </si>
  <si>
    <t>Gujrat Ambuja Exports Ltd.,</t>
  </si>
  <si>
    <t>Gupta Machinery Stores, Nagpur</t>
  </si>
  <si>
    <t>Hazelkaur Manindersingh Saini</t>
  </si>
  <si>
    <t>HEMANT MAHURE</t>
  </si>
  <si>
    <t>Hindustan Mill Stores, Nagpur</t>
  </si>
  <si>
    <t>IGST Payable ( F. Y. 2019-20 )</t>
  </si>
  <si>
    <t>IKP Industries Pvt. Ltd.</t>
  </si>
  <si>
    <t>Import Waste Paper Purchase</t>
  </si>
  <si>
    <t>Incentive/ Bonus Payable</t>
  </si>
  <si>
    <t>Incentive/ Bonus to Staff</t>
  </si>
  <si>
    <t>Indocast Industries</t>
  </si>
  <si>
    <t>INDRAYANI PAPER PORD. PVT. LTD.</t>
  </si>
  <si>
    <t>Innovative Solutions &amp; System</t>
  </si>
  <si>
    <t>INSURANCE CHARGES FOR MARINE</t>
  </si>
  <si>
    <t>Insurance Charges for Marine Export</t>
  </si>
  <si>
    <t>Insurance Charges to Other</t>
  </si>
  <si>
    <t>Insurance Pre-Paid</t>
  </si>
  <si>
    <t>Interest for Car Loan to Sundaram Finance</t>
  </si>
  <si>
    <t>Interest For Forklift to Sundaram Finance</t>
  </si>
  <si>
    <t>Interest For Tractor to Sundaram Finance</t>
  </si>
  <si>
    <t>Interest  From Bank (F.D.)</t>
  </si>
  <si>
    <t>Interest on Add.T/L (1.5Cr)...6669</t>
  </si>
  <si>
    <t>Interest on Bank Term Loan ( 2 Cr.)...0563</t>
  </si>
  <si>
    <t>Interest on CGST</t>
  </si>
  <si>
    <t>Interest On Custom Duty</t>
  </si>
  <si>
    <t>Interest On IGST</t>
  </si>
  <si>
    <t>Interest on Income Tax</t>
  </si>
  <si>
    <t>INTEREST ON PROFESSIONAL TAX</t>
  </si>
  <si>
    <t>Interest on Provident Fund</t>
  </si>
  <si>
    <t>Interest On Sales Tax</t>
  </si>
  <si>
    <t>Interest on SGST</t>
  </si>
  <si>
    <t>Interest On TDS</t>
  </si>
  <si>
    <t>Interest on Vat F.Y. 2015-16</t>
  </si>
  <si>
    <t>Interest Payable</t>
  </si>
  <si>
    <t>Interest to Bank</t>
  </si>
  <si>
    <t>Interest to Bank on T/L (1.5 Cr.).....3547</t>
  </si>
  <si>
    <t>Interest to Bank on T/L (4 Cr.)....80072</t>
  </si>
  <si>
    <t>Interest to Others</t>
  </si>
  <si>
    <t>Internal Audit Fees (Khandelwal)</t>
  </si>
  <si>
    <t>JAGPIN BREWERIES LTD.</t>
  </si>
  <si>
    <t>JAI MAHALAXMI ENTERPRISES</t>
  </si>
  <si>
    <t>Jai Mata Di Waste Paper</t>
  </si>
  <si>
    <t>Jainam Multi-Product (India) Pvt Ltd</t>
  </si>
  <si>
    <t>JANAKSONS &amp; COMPANY</t>
  </si>
  <si>
    <t>Jarnailsingh Saini (Loan A/c)</t>
  </si>
  <si>
    <t>JB Lightings</t>
  </si>
  <si>
    <t>JIGAR TRADING COMPANY</t>
  </si>
  <si>
    <t>JINDAL MEDICOSE, NAGPUR</t>
  </si>
  <si>
    <t>Jitendra Nikhare</t>
  </si>
  <si>
    <t>J.S.M. MARKETING, NAGPUR</t>
  </si>
  <si>
    <t>Jus Enterprises</t>
  </si>
  <si>
    <t>Kailash Kaur Jarnailsingh Saini</t>
  </si>
  <si>
    <t>KARAN ENTERPRISES (WP)</t>
  </si>
  <si>
    <t>KEDAR PAPER CONVERSIONS</t>
  </si>
  <si>
    <t>K.R.V. Express</t>
  </si>
  <si>
    <t>Kunal Jain</t>
  </si>
  <si>
    <t>Labour Welfare Fund</t>
  </si>
  <si>
    <t>LAKHOTIYA TRADERS PVT. LTD.</t>
  </si>
  <si>
    <t>Lakhotiya Traders Pvt. Ltd. (Sale)</t>
  </si>
  <si>
    <t>Lark Dyechem</t>
  </si>
  <si>
    <t>Leave Encashment</t>
  </si>
  <si>
    <t>Leave Encashment Payable</t>
  </si>
  <si>
    <t>Legal &amp; Proffessional  Charges</t>
  </si>
  <si>
    <t>L.I.C. Payable</t>
  </si>
  <si>
    <t>Lusha Print N Pack</t>
  </si>
  <si>
    <t>Maa Tarini Traders</t>
  </si>
  <si>
    <t>Machinery Exp for Boiler Material BED</t>
  </si>
  <si>
    <t>Machinery Repair &amp; Maint Diesel Exp.</t>
  </si>
  <si>
    <t>Machinery Repair &amp; Maintenance</t>
  </si>
  <si>
    <t>Machinery Repair &amp; Maint to Electrical</t>
  </si>
  <si>
    <t>MAHALAXMI FIRE SERVICES, NAGPUR</t>
  </si>
  <si>
    <t>Maharashtra State Mining Corp. Ltd.</t>
  </si>
  <si>
    <t>Makharia Machineries Pvt. Ltd.</t>
  </si>
  <si>
    <t>Manish Computer</t>
  </si>
  <si>
    <t>Manohar Rewatkar</t>
  </si>
  <si>
    <t>Manoj Gore</t>
  </si>
  <si>
    <t>MAT Credit Entitlement (A.Y. 14-15)</t>
  </si>
  <si>
    <t>MAT Credit Entitlement A.Y. 15-16</t>
  </si>
  <si>
    <t>MAT Credit Entitlement (A.Y. 2012-13)</t>
  </si>
  <si>
    <t>Mat Credit Entitlement A.Y.2018-19</t>
  </si>
  <si>
    <t>MAT Utilised (A.Y.13-14)</t>
  </si>
  <si>
    <t>MCS Share Tranfer Agent Limited</t>
  </si>
  <si>
    <t>MEDICAL AIDS TO STAFF</t>
  </si>
  <si>
    <t>MOHD. ANISH ABDUL AZIZ</t>
  </si>
  <si>
    <t>MSC Agency (India) Pvt. Ltd.</t>
  </si>
  <si>
    <t>MSC Mediterranean Shipping Company S.A.</t>
  </si>
  <si>
    <t>Narayan Auto Part Service</t>
  </si>
  <si>
    <t>Narayan Prasad Warthi</t>
  </si>
  <si>
    <t>Nilkanth Nikhare</t>
  </si>
  <si>
    <t>Niraj Engineering Co. Pvt. Ltd</t>
  </si>
  <si>
    <t>Niranjan Koche</t>
  </si>
  <si>
    <t>Non -Eligible GST (Disallowed)</t>
  </si>
  <si>
    <t>OFFICE CLEANING CHARGES</t>
  </si>
  <si>
    <t>OFFICE ELECTRICITY CHARGES</t>
  </si>
  <si>
    <t>Office Electricity Payable</t>
  </si>
  <si>
    <t>Office Equipment</t>
  </si>
  <si>
    <t>OFFICE MISC. EXPENSES</t>
  </si>
  <si>
    <t>OFFICE RENT</t>
  </si>
  <si>
    <t>OFFICE TEA &amp; OTHER EXP.</t>
  </si>
  <si>
    <t>OM SAI ENGINEERING</t>
  </si>
  <si>
    <t>ORIENTAL TRADING COMPANY</t>
  </si>
  <si>
    <t>ORIGAMI CELLULO PVT.LTD.</t>
  </si>
  <si>
    <t>Other Charges : Chemical</t>
  </si>
  <si>
    <t>Other Charges : Chemical (NON-GST)</t>
  </si>
  <si>
    <t>Other Charges : Coal</t>
  </si>
  <si>
    <t>Other Charges : Packing Material</t>
  </si>
  <si>
    <t>Other Charges : Packing (Non-GST)</t>
  </si>
  <si>
    <t>Other Import OCC Expenses</t>
  </si>
  <si>
    <t>Other Professional Fees : (Walter)</t>
  </si>
  <si>
    <t>Other Professional Fees (Darak)</t>
  </si>
  <si>
    <t>PACKING CHARGES</t>
  </si>
  <si>
    <t>Packing Material Purchase</t>
  </si>
  <si>
    <t>PACKSAFE</t>
  </si>
  <si>
    <t>PANCHSHEEL TRADING CORPN., NAGPUR</t>
  </si>
  <si>
    <t>Payable to Boiler Fireman Charges</t>
  </si>
  <si>
    <t>PAYABLE TO RAW MATERIAL SORTING</t>
  </si>
  <si>
    <t>Payable Waste Paper Feeding Charges</t>
  </si>
  <si>
    <t>Penalty to Compliance (MSEI)</t>
  </si>
  <si>
    <t>Plant &amp; Machinery</t>
  </si>
  <si>
    <t>Pooja Atul Hurkat</t>
  </si>
  <si>
    <t>POOJA EXPENSES</t>
  </si>
  <si>
    <t>Power &amp; Electricity Payable</t>
  </si>
  <si>
    <t>PRANSHU PAPER PVT. LTD.</t>
  </si>
  <si>
    <t>Premier India Road Service, Nagpur</t>
  </si>
  <si>
    <t>Pre-Paid Renewal &amp; Registration</t>
  </si>
  <si>
    <t>PR GLOBAL RESOURCES INDIA PRIVATE  LIMITED</t>
  </si>
  <si>
    <t>Professional Fees</t>
  </si>
  <si>
    <t>Profit &amp; Loss A/c</t>
  </si>
  <si>
    <t>Profit on Sale of Asset</t>
  </si>
  <si>
    <t>Profit on Sales Tax Under P.S.I.Scheme</t>
  </si>
  <si>
    <t>PROVIDENT FUND CONTRIBUTION EXP.</t>
  </si>
  <si>
    <t>Provision for Acturial Gratuity</t>
  </si>
  <si>
    <t>Provision for Depreciation Building</t>
  </si>
  <si>
    <t>Provision for Depreciation Computer</t>
  </si>
  <si>
    <t>Provision for Depreciation Electrical Installation</t>
  </si>
  <si>
    <t>Provision for Depreciation Factory Building</t>
  </si>
  <si>
    <t>Provision for Depreciation Furniture &amp; Fixture</t>
  </si>
  <si>
    <t>Provision for Depreciation Office Equipment</t>
  </si>
  <si>
    <t>Provision for Depreciation Plant &amp; Machinery</t>
  </si>
  <si>
    <t>Provision for Depreciation Vehicle</t>
  </si>
  <si>
    <t>Provision for Income Tax (A.Y.2019-20)</t>
  </si>
  <si>
    <t>Provision For I.T. A.Y, 2005-06</t>
  </si>
  <si>
    <t>Provision for I.T. A.Y. 2008-09</t>
  </si>
  <si>
    <t>Provision for I.T. A.Y, 2013-14</t>
  </si>
  <si>
    <t>Provision for I.T, A.Y.2017-18</t>
  </si>
  <si>
    <t>Provisions for Gratuity Payable</t>
  </si>
  <si>
    <t>PSI Under Sales Tax Deferal Receivable</t>
  </si>
  <si>
    <t>PUNJAB MACHINE TOOLS</t>
  </si>
  <si>
    <t>Purchase Expenses : Chemical</t>
  </si>
  <si>
    <t>Purchase Expenses : Coal</t>
  </si>
  <si>
    <t>Purchase Expenses : OCC</t>
  </si>
  <si>
    <t>Purchase Expenses : Waste Paper</t>
  </si>
  <si>
    <t>Purchase of Store</t>
  </si>
  <si>
    <t>Raghav Enterprises</t>
  </si>
  <si>
    <t>RAJESH GAS AGENCIES</t>
  </si>
  <si>
    <t>R.A. KRAFT PAPERS LIMITED,</t>
  </si>
  <si>
    <t>Rates &amp; Taxes</t>
  </si>
  <si>
    <t>RAVINDRA KUMBHARE</t>
  </si>
  <si>
    <t>Raw Material Sorting Charges</t>
  </si>
  <si>
    <t>R.C.CORRUPACK PVT. LTD.</t>
  </si>
  <si>
    <t>RCM CGST PAYABLE</t>
  </si>
  <si>
    <t>RCM IGST PAYABLE</t>
  </si>
  <si>
    <t>RCM on IGST  (Inward Supply)</t>
  </si>
  <si>
    <t>RCM SGST PAYABLE</t>
  </si>
  <si>
    <t>Relief Lab Pvt. Ltd.</t>
  </si>
  <si>
    <t>Remuneration to Directors</t>
  </si>
  <si>
    <t>Renewal &amp; Registration Expenses</t>
  </si>
  <si>
    <t>Repair &amp; Maintenance to Other Assets</t>
  </si>
  <si>
    <t>REPAIR &amp; MAINT. TO BUILDING</t>
  </si>
  <si>
    <t>Revaluation Reserve</t>
  </si>
  <si>
    <t>ROC Filing Charges</t>
  </si>
  <si>
    <t>ROUNAK STEEL</t>
  </si>
  <si>
    <t>Round Offf</t>
  </si>
  <si>
    <t>R.S. KRAFT PAPERS LTD</t>
  </si>
  <si>
    <t>R &amp; Y LOGISTICS PVT. LTD</t>
  </si>
  <si>
    <t>SAFETY PACKAGERS (P) LTD.</t>
  </si>
  <si>
    <t>Saini Transport Co.</t>
  </si>
  <si>
    <t>Salary Payable</t>
  </si>
  <si>
    <t>Salary to Company Secretary</t>
  </si>
  <si>
    <t>Salary to Factory Adm. Staff</t>
  </si>
  <si>
    <t>Salary to Office Staff</t>
  </si>
  <si>
    <t>Salary to Other Factory Staff</t>
  </si>
  <si>
    <t>SALES A/C GST</t>
  </si>
  <si>
    <t>SALES A/C INTERASTATE</t>
  </si>
  <si>
    <t>Sales Return Account (GST Sales)</t>
  </si>
  <si>
    <t>SALES TAX ASSESSMENT 2012-13</t>
  </si>
  <si>
    <t>SALE TRANSIT INSURANCE @0.30%</t>
  </si>
  <si>
    <t>Sanjamkaur Saini</t>
  </si>
  <si>
    <t>Sanjay Fulzele</t>
  </si>
  <si>
    <t>SARASWATI GENERAL STORES, NAGPUR</t>
  </si>
  <si>
    <t>SARTAJ MANINDERSINGH SAINI</t>
  </si>
  <si>
    <t>S.B.I. Indl.Fin.Br. Trustee HPML Empl.G.G.Scheme</t>
  </si>
  <si>
    <t>S.B.I. Term Loan ( 2 Cr) No. 35531440563</t>
  </si>
  <si>
    <t>S.B.I. Term Loan A/c (033517180072)  4 Cr</t>
  </si>
  <si>
    <t>S.B.I. Term Loan Additional (A/cNo.35294966669) 1.5</t>
  </si>
  <si>
    <t>S.B.I. Term Loan New A/c (34484493547) 1.5 Cr</t>
  </si>
  <si>
    <t>Securities Premium (351165@25)</t>
  </si>
  <si>
    <t>Security Service Charges</t>
  </si>
  <si>
    <t>SEZ SALE (SPECIAL ECONOMIC ZONE)</t>
  </si>
  <si>
    <t>SGST @ 9% ON OTHER PURCHASE</t>
  </si>
  <si>
    <t>SGST Payable ( F. Y. 2019-20 )</t>
  </si>
  <si>
    <t>Shankar Traders (Sale)</t>
  </si>
  <si>
    <t>SHANKAR TRADING COMPANY</t>
  </si>
  <si>
    <t>SHARP GRAPHICS</t>
  </si>
  <si>
    <t>SHIVAM TRADERS, NAGPUR</t>
  </si>
  <si>
    <t>Short Provision Against Insu. Claim</t>
  </si>
  <si>
    <t>Short Provision of Incentive/Bonus</t>
  </si>
  <si>
    <t>SHREE FLEX PRINT PVT.LTD.</t>
  </si>
  <si>
    <t>SHREE INDUSTRIES</t>
  </si>
  <si>
    <t>Shree Trade Links (Pkg)</t>
  </si>
  <si>
    <t>Shri Balaji Tradelink</t>
  </si>
  <si>
    <t>SHUBHAM ENTERPRISES</t>
  </si>
  <si>
    <t>Site Development Expenses</t>
  </si>
  <si>
    <t>SIZE REBATE</t>
  </si>
  <si>
    <t>Snehlata A. Lakhotiya</t>
  </si>
  <si>
    <t>Somani Packers</t>
  </si>
  <si>
    <t>Staff Profession Tax Payable</t>
  </si>
  <si>
    <t>STATE BANK OF INDIA C.C.,SME Br.</t>
  </si>
  <si>
    <t>State Compensation on Cess</t>
  </si>
  <si>
    <t>STATIONERY &amp; PRINTING CHARGES</t>
  </si>
  <si>
    <t>Statutory Audit Fees (Darak &amp; Asso)</t>
  </si>
  <si>
    <t>SUMED BORKAR</t>
  </si>
  <si>
    <t>Summit Agencies</t>
  </si>
  <si>
    <t>SUNDARAM FINANCE LTD :N006700064 (ForkLift)</t>
  </si>
  <si>
    <t>SUNDARAM FINANCE LTD :N036300010 (Tractor)</t>
  </si>
  <si>
    <t>SUNDER NAMKEEN</t>
  </si>
  <si>
    <t>Sundry Balance W/off</t>
  </si>
  <si>
    <t>Sunil Enterprises (SALE)</t>
  </si>
  <si>
    <t>Sunil Nate</t>
  </si>
  <si>
    <t>Tanisha Resins P. Ltd., Nagpur</t>
  </si>
  <si>
    <t>TDS  (A. Y. 2019-20)</t>
  </si>
  <si>
    <t>TDS (A. Y. 2020-21)</t>
  </si>
  <si>
    <t>TDS Excess Paid</t>
  </si>
  <si>
    <t>TDS Payable Dealers Commission</t>
  </si>
  <si>
    <t>TDS PAYABLE ON CONTRACTORS</t>
  </si>
  <si>
    <t>TDS PAYABLE ON INTEREST</t>
  </si>
  <si>
    <t>TDS PAYABLE  ON OFFICE RENT</t>
  </si>
  <si>
    <t>TDS  PAYABLE ON  PROFESSIONAL</t>
  </si>
  <si>
    <t>TDSPAYABLE ON REMUNERATION</t>
  </si>
  <si>
    <t>TDS Payable on Salary</t>
  </si>
  <si>
    <t>TDS Payable on Transporter</t>
  </si>
  <si>
    <t>TELEPHONE CHARGES</t>
  </si>
  <si>
    <t>Telephone Charges Payable</t>
  </si>
  <si>
    <t>Testing &amp; Inspection Fees</t>
  </si>
  <si>
    <t>Tilakraj Inderpal, Nagpur</t>
  </si>
  <si>
    <t>TRADE DISCOUNT</t>
  </si>
  <si>
    <t>TRAVELLING EXPENSES</t>
  </si>
  <si>
    <t>UNIPACK</t>
  </si>
  <si>
    <t>UNIPACK (SALE)</t>
  </si>
  <si>
    <t>URD Purchase of Chemical</t>
  </si>
  <si>
    <t>URD Purchase on Packing Material</t>
  </si>
  <si>
    <t>URD Purchase  on Waste Paper</t>
  </si>
  <si>
    <t>UTSAV PAPER PRODUCTS</t>
  </si>
  <si>
    <t>Uttam Shetty &amp; Co</t>
  </si>
  <si>
    <t>Vaibhav Enterprises</t>
  </si>
  <si>
    <t>VAT (Earlier Tax Paid ) F.Y. 16-17</t>
  </si>
  <si>
    <t>VAT (Earlier Tax Paid ) F.Y. 17-18</t>
  </si>
  <si>
    <t>Vat for F. Y. 2015-16</t>
  </si>
  <si>
    <t>Vehicle</t>
  </si>
  <si>
    <t>VEHICLE DIESEL EXPENSES</t>
  </si>
  <si>
    <t>Vehicle Repair &amp; Maintenance</t>
  </si>
  <si>
    <t>Vertex Films Pvt. Ltd.</t>
  </si>
  <si>
    <t>Vidarbha Bearing &amp; Belting Co. P. Ltd.</t>
  </si>
  <si>
    <t>Vidhanis Tradelink Pvt. Ltd.</t>
  </si>
  <si>
    <t>Village Computer System, Nagpur</t>
  </si>
  <si>
    <t>WALTER &amp; ASSOCIATES, MUMBAI</t>
  </si>
  <si>
    <t>Waste Desposable Expenses(Plastic Dispose)</t>
  </si>
  <si>
    <t>Waste Paper Feeding  Charges</t>
  </si>
  <si>
    <t>Waste Paper Purchase</t>
  </si>
  <si>
    <t>Western Coal Fields Ltd.</t>
  </si>
  <si>
    <t>W-I-P Building</t>
  </si>
  <si>
    <t>W-I-P Plant &amp; Machinery</t>
  </si>
  <si>
    <t>Worlds Window Wardha Infrastructure Pvt Ltd</t>
  </si>
  <si>
    <t>XEROX CHARGES</t>
  </si>
  <si>
    <t>YASH COMMERCIALS</t>
  </si>
  <si>
    <t>Grand Total</t>
  </si>
  <si>
    <t>1-Apr-2018 to 31-Mar-2019</t>
  </si>
  <si>
    <t>Hardoli Paper Mills Ltd. - (18-19)</t>
  </si>
  <si>
    <t>vlook Dr</t>
  </si>
  <si>
    <t>vlook cr</t>
  </si>
  <si>
    <t>Dr. Diff</t>
  </si>
  <si>
    <t>Cr. Diff</t>
  </si>
  <si>
    <t>Total</t>
  </si>
  <si>
    <t>ALLIANCE INTERNATIONAL DWC-LLC</t>
  </si>
  <si>
    <t>ANISH INDUSTRIES</t>
  </si>
  <si>
    <t>Anurag Steel</t>
  </si>
  <si>
    <t>ARIHANT ENTERPRISES</t>
  </si>
  <si>
    <t>ARIHANT ENTERPRISES (KEDAR)</t>
  </si>
  <si>
    <t>Arkil Chem P. Ltd.</t>
  </si>
  <si>
    <t>Atul V Hurkat HUF</t>
  </si>
  <si>
    <t>Audit Expenses : (Excise)</t>
  </si>
  <si>
    <t>Batish Chemicals I India Pvt.Ltd.</t>
  </si>
  <si>
    <t>Best Engineering Works Regd. Punjab</t>
  </si>
  <si>
    <t>BHARADWAJ PACKAGING PVT. LTD.</t>
  </si>
  <si>
    <t>CGST Payable ( F.Y. 2017-18)</t>
  </si>
  <si>
    <t>CGST Payable ( F. Y. 2018-19)</t>
  </si>
  <si>
    <t>CHACHA GOODS CARRIERS</t>
  </si>
  <si>
    <t>CHANDRA SALES CORPORATION [ WP]</t>
  </si>
  <si>
    <t>Credit Not Availed Ag.GST (F.Y. 18-19)</t>
  </si>
  <si>
    <t>CST Payable  (F.Y. 2016- 17 )</t>
  </si>
  <si>
    <t>Dandong Shengxing Paper Machinery, China</t>
  </si>
  <si>
    <t>DEEP SALES CORPORATION</t>
  </si>
  <si>
    <t>DEPOSIT FOR SBI  BG 3,90,000 [ TDR. 37091487639]</t>
  </si>
  <si>
    <t>Deposits with S.B.I. for LC Margin Rs.3,75,000/-</t>
  </si>
  <si>
    <t>Should be clubbed in the specific Expense.</t>
  </si>
  <si>
    <t>Dhanraj Raut</t>
  </si>
  <si>
    <t>DILIPKUMAR PATEL</t>
  </si>
  <si>
    <t>ECONOMIC PACKAGING CORPORATION</t>
  </si>
  <si>
    <t>E-TDS Filing Charges</t>
  </si>
  <si>
    <t>Excise Aud Para Expenses</t>
  </si>
  <si>
    <t>Exempted Ag.Chemical Purchase</t>
  </si>
  <si>
    <t>Ex Gratia Payment</t>
  </si>
  <si>
    <t>FIRST FLIGHT COURIERS LTD.</t>
  </si>
  <si>
    <t>Flexible Abrasives Pvt.Ltd., Ar'bad</t>
  </si>
  <si>
    <t>Ganpat Steel Industries</t>
  </si>
  <si>
    <t>Globe Engineering Company</t>
  </si>
  <si>
    <t>GST Audit Fees Payable</t>
  </si>
  <si>
    <t>GST Audit Fees (Shah Baheti Chandak)</t>
  </si>
  <si>
    <t>HORIZON PACKS PVT. LTD.</t>
  </si>
  <si>
    <t>House Rent</t>
  </si>
  <si>
    <t>IGST Payable (F.Y. 2017-18)</t>
  </si>
  <si>
    <t>IGST Payable ( F. Y. 2018-19)</t>
  </si>
  <si>
    <t>Inder Trade &amp; Industry, Bikaner</t>
  </si>
  <si>
    <t>Insurance Claim Receivable( Accident Claim)</t>
  </si>
  <si>
    <t>Interest  on Excise Duty</t>
  </si>
  <si>
    <t>Interest on VAT A.Y. 14-15</t>
  </si>
  <si>
    <t>INTRATECH</t>
  </si>
  <si>
    <t>JENSON INTERNATIONAL</t>
  </si>
  <si>
    <t>JENSON TRADING CORPORATION</t>
  </si>
  <si>
    <t>Late Fee</t>
  </si>
  <si>
    <t>L. A. Trading Company</t>
  </si>
  <si>
    <t>LC Charges</t>
  </si>
  <si>
    <t>Mahesh Mirashe</t>
  </si>
  <si>
    <t>Membership &amp; Subscription</t>
  </si>
  <si>
    <t>Metropolitan Stock Exchange of India(MSEI)</t>
  </si>
  <si>
    <t>MOHIT PAPER PACKAGING INDUSTRY</t>
  </si>
  <si>
    <t>Nagpur Telangana Roadways</t>
  </si>
  <si>
    <t>NEWPORT CH INTERNATIONAL LLC</t>
  </si>
  <si>
    <t>Non-Receivable Excise Expenses</t>
  </si>
  <si>
    <t>Non Receivable GST Prior Expenses</t>
  </si>
  <si>
    <t>Other Charges : M/c Repair &amp; Maint.</t>
  </si>
  <si>
    <t>Other Charges :- Repair &amp; Maint Building</t>
  </si>
  <si>
    <t>Other Charges : Vehicle Repair &amp; Maint.</t>
  </si>
  <si>
    <t>Other Professional Fees : (Shah Baheti)</t>
  </si>
  <si>
    <t>PENALTY ON CGST</t>
  </si>
  <si>
    <t>Penalty on Custom Duty</t>
  </si>
  <si>
    <t>Penalty on Excise Duty</t>
  </si>
  <si>
    <t>PENALTY ON SGST</t>
  </si>
  <si>
    <t>Power Incentive Received</t>
  </si>
  <si>
    <t>Pragathi Bearing Company</t>
  </si>
  <si>
    <t>Prakash Chaple</t>
  </si>
  <si>
    <t>Prayag Industries</t>
  </si>
  <si>
    <t>PRIYANKA TECHNOPACK PVT. LTD.</t>
  </si>
  <si>
    <t>Professional Tax</t>
  </si>
  <si>
    <t>Punamchand &amp; Sons ( Jaliwala)</t>
  </si>
  <si>
    <t>Purchase Expenses : Packing Material</t>
  </si>
  <si>
    <t>Purchase Import in Transit</t>
  </si>
  <si>
    <t>Raghuvir Parmar</t>
  </si>
  <si>
    <t>RAMKRISHNA PAPER MART</t>
  </si>
  <si>
    <t>Rate Difference : Coal Purchase</t>
  </si>
  <si>
    <t>Ravi Trading Company</t>
  </si>
  <si>
    <t>R. R. Controls</t>
  </si>
  <si>
    <t>Sachin Dehankar</t>
  </si>
  <si>
    <t>Safexpress Pvt. Ltd.</t>
  </si>
  <si>
    <t>Sanjay Tiwari</t>
  </si>
  <si>
    <t>Saurashtra Marketing Corporation</t>
  </si>
  <si>
    <t>SGST PAYABLE (F.Y. 2017-18)</t>
  </si>
  <si>
    <t>SGST Payable ( F. Y. 2018-19)</t>
  </si>
  <si>
    <t>Shah Baheti Chandak &amp; Co.</t>
  </si>
  <si>
    <t>Shahnawaj Khan</t>
  </si>
  <si>
    <t>SHALIMAR WIRE INDUSTRIES LIMITED</t>
  </si>
  <si>
    <t>SHARADCHANDRA P. SHAH AGENCY PVT. LTD. , MUMBAI</t>
  </si>
  <si>
    <t>Shiba Sambhu Traders Odisha</t>
  </si>
  <si>
    <t>Shriram Packers</t>
  </si>
  <si>
    <t>SHRI SIDDHIVINAYAKA ENTERPRISES(Comm)</t>
  </si>
  <si>
    <t>SHUBH PACK</t>
  </si>
  <si>
    <t>S.K.Gupta (P) Ltd,Nagpur</t>
  </si>
  <si>
    <t>SREERAM PACKING INDUSTRIES</t>
  </si>
  <si>
    <t>STAFF WELFARE EXPENSES</t>
  </si>
  <si>
    <t>Stock Audit Bank Charges</t>
  </si>
  <si>
    <t>SUNDARAM FINANCE LTD : N006700059(CAR Loan)</t>
  </si>
  <si>
    <t>Suryakant Sadawarti</t>
  </si>
  <si>
    <t>SWASTIK PAPER BOX</t>
  </si>
  <si>
    <t>TDS Excess Paid FY 15-16</t>
  </si>
  <si>
    <t>TDS Payable on Commission</t>
  </si>
  <si>
    <t>Thakkar Agencies</t>
  </si>
  <si>
    <t>Varuna Industries, Nagpur</t>
  </si>
  <si>
    <t>VAT Assessment Order 2014-15</t>
  </si>
  <si>
    <t>VAT Audit Fees : (Shah Baheti)</t>
  </si>
  <si>
    <t>VAT Payable ( F.Y. 16-17 )</t>
  </si>
  <si>
    <t>VAT Payable (F.Y. 2017-18)</t>
  </si>
  <si>
    <t>VAT Receivable  (F.Y. 14-15)</t>
  </si>
  <si>
    <t>VEENA INDUSTRIES</t>
  </si>
  <si>
    <t>Visy Recycling</t>
  </si>
  <si>
    <t>Voith Paper Fabrics India Ltd.</t>
  </si>
  <si>
    <t>Walkover Industries</t>
  </si>
  <si>
    <t>Waste Desposable Expenses</t>
  </si>
  <si>
    <t>Yadav Engineering</t>
  </si>
  <si>
    <t>Yash Electric Co.</t>
  </si>
  <si>
    <t>Zibo Huacheng Imp And Exp. Co. Ltd.</t>
  </si>
  <si>
    <t>2019-20</t>
  </si>
  <si>
    <t>2018-19</t>
  </si>
  <si>
    <t>2017-18</t>
  </si>
  <si>
    <t>PARTICULARS</t>
  </si>
  <si>
    <t>Note</t>
  </si>
  <si>
    <t>BS Main Head</t>
  </si>
  <si>
    <t>BS Sub Head</t>
  </si>
  <si>
    <t>DR-2020</t>
  </si>
  <si>
    <t>ADJ</t>
  </si>
  <si>
    <t>DR-March 20</t>
  </si>
  <si>
    <t>CR-2020</t>
  </si>
  <si>
    <t>Adj</t>
  </si>
  <si>
    <t>CR-March 20</t>
  </si>
  <si>
    <t>DR-2019</t>
  </si>
  <si>
    <t>DR-DEC 19</t>
  </si>
  <si>
    <t>CR-2019</t>
  </si>
  <si>
    <t>CR-DEC 19</t>
  </si>
  <si>
    <t>opening stock</t>
  </si>
  <si>
    <t>Trade Payables</t>
  </si>
  <si>
    <t>Trade Payables - Others</t>
  </si>
  <si>
    <t>Trade Receivables</t>
  </si>
  <si>
    <t>Other Debts</t>
  </si>
  <si>
    <t>Other Debts - Export</t>
  </si>
  <si>
    <t>Long Term Loans &amp; Advances</t>
  </si>
  <si>
    <t>Advance Income Tax</t>
  </si>
  <si>
    <t>Other Expenses</t>
  </si>
  <si>
    <t>Establishment Expenses-Rates &amp; Taxes</t>
  </si>
  <si>
    <t>Selling &amp; Dist.-Advertisement Expenses</t>
  </si>
  <si>
    <t>Align Components (P) Ltd.,</t>
  </si>
  <si>
    <t>Short Term Loans &amp; Advances</t>
  </si>
  <si>
    <t>Advance to Suppliers</t>
  </si>
  <si>
    <t>Amruta Enterprises, Nagpur</t>
  </si>
  <si>
    <t>Anilkumar M. Lakhotiya (Loan A/C)</t>
  </si>
  <si>
    <t>Long Term Borrowings</t>
  </si>
  <si>
    <t>Unsecured-From Related Party</t>
  </si>
  <si>
    <t>Establishment Expenses-General Expenses</t>
  </si>
  <si>
    <t>Employee Benefit Expenses</t>
  </si>
  <si>
    <t>Salary &amp; Wages</t>
  </si>
  <si>
    <t>Raw Material Consumed</t>
  </si>
  <si>
    <t>Raw Material Purchase</t>
  </si>
  <si>
    <t>Manufacturing Expenses - Packing Material Consumed</t>
  </si>
  <si>
    <t>Establishment Expenses-Listing Expense</t>
  </si>
  <si>
    <t>Other Current Liabilities</t>
  </si>
  <si>
    <t>Trade Payables for capital goods</t>
  </si>
  <si>
    <t>Establishment Expenses-Auditors Remuneration</t>
  </si>
  <si>
    <t>Establishment Expenses-Bank Charges</t>
  </si>
  <si>
    <t>Finance Costs</t>
  </si>
  <si>
    <t>Other Borrowing Costs</t>
  </si>
  <si>
    <t>Manufacturing Expenses - Factory Expenses</t>
  </si>
  <si>
    <t>Fixed Assets</t>
  </si>
  <si>
    <t>Tangible Asset</t>
  </si>
  <si>
    <t>Books News Paper &amp; Perodicals</t>
  </si>
  <si>
    <t>Establishment Expenses-Office Expenses</t>
  </si>
  <si>
    <t>Building</t>
  </si>
  <si>
    <t>Reserves &amp; Surplus</t>
  </si>
  <si>
    <t>Capital Reserve</t>
  </si>
  <si>
    <t>Manufacturing Expenses-Repairs &amp; Maintainence Machinery</t>
  </si>
  <si>
    <t>Cash</t>
  </si>
  <si>
    <t>Cash And Bank Balances</t>
  </si>
  <si>
    <t>Cash On Hand</t>
  </si>
  <si>
    <t>Statutory Dues</t>
  </si>
  <si>
    <t>Chowdhary Packagers</t>
  </si>
  <si>
    <t>Manufacturing Expenses - Power &amp; Fuel Consumed</t>
  </si>
  <si>
    <t>Clearing &amp; Fwd. Chgs.On Import M/C</t>
  </si>
  <si>
    <t>Selling &amp; Dist.-Discount &amp; Commission</t>
  </si>
  <si>
    <t>Commission On Sales Account</t>
  </si>
  <si>
    <t>Establishment Expenses-Legal &amp; Professional Charges</t>
  </si>
  <si>
    <t>Contribution To P.F. Payable</t>
  </si>
  <si>
    <t>Conveyance Expenses</t>
  </si>
  <si>
    <t>Establishment Expenses-Travelling &amp; Conveyance</t>
  </si>
  <si>
    <t>Conveyance To Directors</t>
  </si>
  <si>
    <t>Courier &amp; Postage Charges</t>
  </si>
  <si>
    <t>Manufacturing Expenses - Stores &amp; Spares Consumed</t>
  </si>
  <si>
    <t>Balance with Government Authorities</t>
  </si>
  <si>
    <t>Revenue From Operations</t>
  </si>
  <si>
    <t>Sale of Goods - Manufacturing Sales</t>
  </si>
  <si>
    <t>Cst Tax Expenses</t>
  </si>
  <si>
    <t xml:space="preserve">Deferred Tax Liabilities </t>
  </si>
  <si>
    <t>Deferred Tax Liability</t>
  </si>
  <si>
    <t>Long Term Deposits</t>
  </si>
  <si>
    <t>Other Non-Current Assets</t>
  </si>
  <si>
    <t>Balance with Bank in Deposit Accounts</t>
  </si>
  <si>
    <t>Deposits For Office Premises</t>
  </si>
  <si>
    <t>Deposits For Telephone</t>
  </si>
  <si>
    <t>Short Term Provision</t>
  </si>
  <si>
    <t>Provision for Employee Benefit</t>
  </si>
  <si>
    <t>Depreciation &amp; Amortisation</t>
  </si>
  <si>
    <t>Depreciation</t>
  </si>
  <si>
    <t>Depreciation On Building</t>
  </si>
  <si>
    <t>Depreciation On Computer</t>
  </si>
  <si>
    <t>Depreciation On Plant &amp; Machinery</t>
  </si>
  <si>
    <t>Loans and Advances to Employees</t>
  </si>
  <si>
    <t>Donation</t>
  </si>
  <si>
    <t>Share Capital</t>
  </si>
  <si>
    <t>Issued, Subscribed &amp; Paid Up</t>
  </si>
  <si>
    <t>Contribution to Funds</t>
  </si>
  <si>
    <t>Fees To Registrar</t>
  </si>
  <si>
    <t>Manufacturin Expenses - FG Packing &amp; Allied Chgs</t>
  </si>
  <si>
    <t>Finished Goods Packing &amp; Allied Payable</t>
  </si>
  <si>
    <t>First Flight Couriers Ltd.</t>
  </si>
  <si>
    <t>Other Income</t>
  </si>
  <si>
    <t>Foreign Exchange Fluctuation Gain on RM</t>
  </si>
  <si>
    <t>Short Term Borrowings</t>
  </si>
  <si>
    <t>General Reserve</t>
  </si>
  <si>
    <t>Gratuity To Staff</t>
  </si>
  <si>
    <t>GST Audit Fees</t>
  </si>
  <si>
    <t>Hemant Mahure</t>
  </si>
  <si>
    <t>Establishment Expenses-Rent</t>
  </si>
  <si>
    <t>Insurance Charges For Marine</t>
  </si>
  <si>
    <t>Selling &amp; Dist.-Insurance on Sales</t>
  </si>
  <si>
    <t>Insurance Charges To Other</t>
  </si>
  <si>
    <t>Establishment Expenses-Insurance Charges</t>
  </si>
  <si>
    <t>Other Current Assets</t>
  </si>
  <si>
    <t>Insurance claim Receivable</t>
  </si>
  <si>
    <t>Prepaid Expenses</t>
  </si>
  <si>
    <t>Interest Received</t>
  </si>
  <si>
    <t>Interest Accured On Deposit</t>
  </si>
  <si>
    <t>Interest Expenses</t>
  </si>
  <si>
    <t>Interest On Tds</t>
  </si>
  <si>
    <t>Interest Receivable</t>
  </si>
  <si>
    <t>Interest To Bank</t>
  </si>
  <si>
    <t>Interest To Others</t>
  </si>
  <si>
    <t>J.S.M. Marketing, Nagpur</t>
  </si>
  <si>
    <t>Jenson International</t>
  </si>
  <si>
    <t>Jenson Trading Corporation</t>
  </si>
  <si>
    <t>Kajal Sanjay Agrawal</t>
  </si>
  <si>
    <t>Lc Charges</t>
  </si>
  <si>
    <t>Machinery Repair &amp; Maint To Electrical</t>
  </si>
  <si>
    <t>Mahalaxmi Fire Services, Nagpur</t>
  </si>
  <si>
    <t>MAT Credit Entitlement</t>
  </si>
  <si>
    <t>Mat Credit Entitlement (A.Y. 2012-13)</t>
  </si>
  <si>
    <t>Medical Aids To Staff</t>
  </si>
  <si>
    <t>Staff Welfare Expenses</t>
  </si>
  <si>
    <t>Mohd. Anish Abdul Aziz</t>
  </si>
  <si>
    <t>Office Cleaning Charges</t>
  </si>
  <si>
    <t>Office Electricity Charges</t>
  </si>
  <si>
    <t>Office Misc. Expenses</t>
  </si>
  <si>
    <t>Office Rent</t>
  </si>
  <si>
    <t>Office Tea &amp; Other Exp.</t>
  </si>
  <si>
    <t>Establishment Expenses-Rep. &amp; Maint. Others</t>
  </si>
  <si>
    <t>Payable To Raw Material Sorting</t>
  </si>
  <si>
    <t>Pooja Expenses</t>
  </si>
  <si>
    <t>Profit &amp; Loss A/C</t>
  </si>
  <si>
    <t>Surplus</t>
  </si>
  <si>
    <t>Provident Fund Contribution Exp.</t>
  </si>
  <si>
    <t>Tangible Asset - PFD</t>
  </si>
  <si>
    <t>Provision For Depreciation Computer</t>
  </si>
  <si>
    <t>Provision For Depreciation Electrical Installation</t>
  </si>
  <si>
    <t>Provision For Depreciation Furniture &amp; Fixture</t>
  </si>
  <si>
    <t>Provision For Depreciation Office Equipment</t>
  </si>
  <si>
    <t>Provision For Depreciation Plant &amp; Machinery</t>
  </si>
  <si>
    <t>Provision For Depreciation Vehicle</t>
  </si>
  <si>
    <t>Provisions For Gratuity Payable</t>
  </si>
  <si>
    <t>Punjab Machine Tools</t>
  </si>
  <si>
    <t>Purchase Expenses : Occ</t>
  </si>
  <si>
    <t>Purchase Of Store</t>
  </si>
  <si>
    <t>R.S. Kraft Papers Ltd</t>
  </si>
  <si>
    <t>Rajesh Gas Agencies</t>
  </si>
  <si>
    <t>Ravindra Kumbhare</t>
  </si>
  <si>
    <t>Manufacturin Expenses - RM Sorting Charges</t>
  </si>
  <si>
    <t>Remuneration To Directors</t>
  </si>
  <si>
    <t>Repair &amp; Maint. To Building</t>
  </si>
  <si>
    <t>Manufacturing Expenses-Repairs &amp; Maintainence Building</t>
  </si>
  <si>
    <t>S.B.I. Dividend A/c 2011-12 [ A/C.NO. 32572411218]</t>
  </si>
  <si>
    <t>Balance With Bank - Other Bank Balance</t>
  </si>
  <si>
    <t>Balance With Bank - Current A/c</t>
  </si>
  <si>
    <t>Secured - From Banks - Term Loan</t>
  </si>
  <si>
    <t>Safety Packagers (P) Ltd.</t>
  </si>
  <si>
    <t>Employee Payables</t>
  </si>
  <si>
    <t>Dividend Payable</t>
  </si>
  <si>
    <t>Salary To Factory Adm. Staff</t>
  </si>
  <si>
    <t>Salary To Office Staff</t>
  </si>
  <si>
    <t>Salary To Other Factory Staff</t>
  </si>
  <si>
    <t>Sale Transit Insurance @0.30%</t>
  </si>
  <si>
    <t>Saraswati General Stores, Nagpur</t>
  </si>
  <si>
    <t>Sartaj Manindersingh Saini</t>
  </si>
  <si>
    <t>Securities Premium</t>
  </si>
  <si>
    <t>Manufacturing Expenses - Security Service Charges</t>
  </si>
  <si>
    <t>Shalimar Wire Industries Limited</t>
  </si>
  <si>
    <t>Shankar Trading Company</t>
  </si>
  <si>
    <t>State Bank Of India C.C.,Sme Br.</t>
  </si>
  <si>
    <t>Secured - From Banks - Working Capital Loan</t>
  </si>
  <si>
    <t>Stationery &amp; Printing Charges</t>
  </si>
  <si>
    <t>Establishment Expenses-Printing &amp; Stationery</t>
  </si>
  <si>
    <t>Sumed Borkar</t>
  </si>
  <si>
    <t>Secured - From Other - Term Loan</t>
  </si>
  <si>
    <t>Sundry Balance W/Off</t>
  </si>
  <si>
    <t>Tds  Payable On  Professional</t>
  </si>
  <si>
    <t>Tds Payable  On Office Rent</t>
  </si>
  <si>
    <t>Tds Payable On Contractors</t>
  </si>
  <si>
    <t>Tds Payable On Interest</t>
  </si>
  <si>
    <t>Tds Payable On Salary</t>
  </si>
  <si>
    <t>Telephone Charges</t>
  </si>
  <si>
    <t>Establishment Expenses-Telephone Charges</t>
  </si>
  <si>
    <t>Trade Discount</t>
  </si>
  <si>
    <t>Travelling Expenses</t>
  </si>
  <si>
    <t>Unipack</t>
  </si>
  <si>
    <t>Urd Purchase  On Waste Paper</t>
  </si>
  <si>
    <t>Urd Purchase On Packing Material</t>
  </si>
  <si>
    <t>Vehicle Diesel Expenses</t>
  </si>
  <si>
    <t>Establishment Expenses-Rep. &amp; Maint. Vehicle</t>
  </si>
  <si>
    <t>Walter &amp; Associates, Mumbai</t>
  </si>
  <si>
    <t>Manufacturing Expenses - Waste Paper Feeding Chgs</t>
  </si>
  <si>
    <t>Capital WIP</t>
  </si>
  <si>
    <t>Xerox Charges</t>
  </si>
  <si>
    <t>Advance For Capital Goods</t>
  </si>
  <si>
    <t xml:space="preserve"> </t>
  </si>
  <si>
    <t>HARDOLI PAPER MILLS LIMITED</t>
  </si>
  <si>
    <t>NOTE</t>
  </si>
  <si>
    <t>(Rupees)</t>
  </si>
  <si>
    <t>ASSETS</t>
  </si>
  <si>
    <t>Non-current assets</t>
  </si>
  <si>
    <t>Property, Plant and Equipment</t>
  </si>
  <si>
    <t>2A</t>
  </si>
  <si>
    <t>Capital work-in-progress</t>
  </si>
  <si>
    <t>2B</t>
  </si>
  <si>
    <t>Financial Assets</t>
  </si>
  <si>
    <t xml:space="preserve"> (i) Other  Assets</t>
  </si>
  <si>
    <t>Other Non-current assets</t>
  </si>
  <si>
    <t>Total Non-current assets</t>
  </si>
  <si>
    <t>Current assets</t>
  </si>
  <si>
    <t>Inventories</t>
  </si>
  <si>
    <t xml:space="preserve">    (i) Trade receivables</t>
  </si>
  <si>
    <t xml:space="preserve">    (ii) Cash and cash equivalents</t>
  </si>
  <si>
    <t xml:space="preserve">    (iii) Bank balances other than (ii) above</t>
  </si>
  <si>
    <t xml:space="preserve">    (iv) Other Financial assets</t>
  </si>
  <si>
    <t>Other current assets</t>
  </si>
  <si>
    <t>Current Tax assets (Net)</t>
  </si>
  <si>
    <t>Total Assets</t>
  </si>
  <si>
    <t>EQUITY AND LIABILITIES</t>
  </si>
  <si>
    <t>Equity</t>
  </si>
  <si>
    <t xml:space="preserve">    Equity Share capital</t>
  </si>
  <si>
    <t xml:space="preserve">    Other Equity</t>
  </si>
  <si>
    <t xml:space="preserve">Total Equity </t>
  </si>
  <si>
    <t>Non-current liabilities</t>
  </si>
  <si>
    <t>Financial Liabilities</t>
  </si>
  <si>
    <t>(i) Borrowings</t>
  </si>
  <si>
    <t>Deferred tax liabilities (Net)</t>
  </si>
  <si>
    <t>Total non-current liabilities</t>
  </si>
  <si>
    <t>Current liabilities</t>
  </si>
  <si>
    <t>(ii) Trade payables</t>
  </si>
  <si>
    <t>(iii) Other financial liabilities</t>
  </si>
  <si>
    <t>(iv) Other current liabilities</t>
  </si>
  <si>
    <t>Provisions</t>
  </si>
  <si>
    <t>Total Current liabilities</t>
  </si>
  <si>
    <t>Total Equity and Liabilities</t>
  </si>
  <si>
    <t xml:space="preserve">Significant accounting policies &amp; Notes to Accounts </t>
  </si>
  <si>
    <t>The accompanying notes are an integral part of these standalone financial statements.</t>
  </si>
  <si>
    <t>As per our report of even date</t>
  </si>
  <si>
    <t>For and on behalf of the Board</t>
  </si>
  <si>
    <t>For DARAK AND ASSOCIATES</t>
  </si>
  <si>
    <t>CHARTERED ACCOUNTANTS</t>
  </si>
  <si>
    <t>FIRM REGISTRATION NO. 132818W</t>
  </si>
  <si>
    <t>KAILASH AGARWAL - MANAGING DIRECTOR</t>
  </si>
  <si>
    <t>(DIN:00367292)</t>
  </si>
  <si>
    <t>CA AMIT M. DARAK</t>
  </si>
  <si>
    <t>ANIL KUMAR LAKHOTIYA - JT MANAGING  DIRECTOR</t>
  </si>
  <si>
    <t>PARTNER</t>
  </si>
  <si>
    <t>(DIN:00367361)</t>
  </si>
  <si>
    <t>Membership No. 144005</t>
  </si>
  <si>
    <t>Place: Nagpur</t>
  </si>
  <si>
    <t>(DIN:00367656)</t>
  </si>
  <si>
    <t>(DIN:00895316)</t>
  </si>
  <si>
    <t>MAYANK LUNIYA - COMPANY SECRETARY</t>
  </si>
  <si>
    <t>STATEMENT OF PROFIT AND LOSS FOR THE YEAR ENDED ON 31ST MARCH, 2020</t>
  </si>
  <si>
    <t xml:space="preserve"> Revenue From Operations</t>
  </si>
  <si>
    <t xml:space="preserve"> Other Income</t>
  </si>
  <si>
    <t xml:space="preserve">Total Income </t>
  </si>
  <si>
    <t>EXPENSES</t>
  </si>
  <si>
    <t>Cost of materials consumed</t>
  </si>
  <si>
    <t>Changes in inventories of finished goods,</t>
  </si>
  <si>
    <t>Employee benefits expense</t>
  </si>
  <si>
    <t>Finance costs</t>
  </si>
  <si>
    <t>Depreciation and amortization expense</t>
  </si>
  <si>
    <t>Other expenses</t>
  </si>
  <si>
    <t xml:space="preserve">Total expenses </t>
  </si>
  <si>
    <t xml:space="preserve">Profit/(loss) before exceptional items and tax </t>
  </si>
  <si>
    <t>Exceptional Item</t>
  </si>
  <si>
    <t xml:space="preserve">Profit/(loss) before tax </t>
  </si>
  <si>
    <t>Tax expense:</t>
  </si>
  <si>
    <t>(1) Current tax</t>
  </si>
  <si>
    <t>(1) MAT credit Entilement</t>
  </si>
  <si>
    <t>(2) Deferred tax</t>
  </si>
  <si>
    <t>Profit (Loss) for the year</t>
  </si>
  <si>
    <t>Other Comprehensive Income</t>
  </si>
  <si>
    <t>A (i) Items that will not be reclassified to profit or loss</t>
  </si>
  <si>
    <t>(ii) Income tax relating to items that will not be reclassified to profit or loss</t>
  </si>
  <si>
    <t>B (i) Items that will be reclassified to profit or loss</t>
  </si>
  <si>
    <t xml:space="preserve">Total other Comprehensive Income </t>
  </si>
  <si>
    <t xml:space="preserve">Total Comprehensive Income for the year </t>
  </si>
  <si>
    <t xml:space="preserve">A. Equity Share Capital </t>
  </si>
  <si>
    <t>Opening Balance</t>
  </si>
  <si>
    <t>Changes in the Equity Share Capital during the year</t>
  </si>
  <si>
    <t>B. Other Equity</t>
  </si>
  <si>
    <t>Changes in accounting policy or prior  period errors</t>
  </si>
  <si>
    <t>Restated balance at the beginning of the  reporting period</t>
  </si>
  <si>
    <t>Movement during the year'</t>
  </si>
  <si>
    <t>Revaluation Surplus</t>
  </si>
  <si>
    <t>Addition During Prior perior period</t>
  </si>
  <si>
    <t>Additions During the year</t>
  </si>
  <si>
    <t>Retained Earnings</t>
  </si>
  <si>
    <t>Profit for the year</t>
  </si>
  <si>
    <t>Other Comprehensive Income for the year</t>
  </si>
  <si>
    <t>Total Comprehensive Income for the year</t>
  </si>
  <si>
    <t>Transactions with owners in capacity as owners</t>
  </si>
  <si>
    <t>Dividends (including tax on dividend)</t>
  </si>
  <si>
    <t>Transfer to retained earnings</t>
  </si>
  <si>
    <t>Bonus shares, if any</t>
  </si>
  <si>
    <t>NOTES TO FINANCIAL STATEMENT FOR THE YEAR ENDED 31ST MARCH, 2019</t>
  </si>
  <si>
    <t>NOTE 3 : OTHER ASSETS (FINANCIAL ASSETS)</t>
  </si>
  <si>
    <t>(Unsecured, considered good unless otherwise stated)</t>
  </si>
  <si>
    <t>Long term Deposit with Banks maturing after 12 months</t>
  </si>
  <si>
    <t>(Fixed deposits are lien marked for total facility against the said fixed deposit.)</t>
  </si>
  <si>
    <t xml:space="preserve">NOTE 4 : OTHER NON CURRENT ASSETS </t>
  </si>
  <si>
    <t>Advance for Capital Goods</t>
  </si>
  <si>
    <t>NOTE 5 :INVENTORIES</t>
  </si>
  <si>
    <t xml:space="preserve">Raw Materials </t>
  </si>
  <si>
    <t xml:space="preserve">Stores, Packing Material &amp; Fuel </t>
  </si>
  <si>
    <t>Finished Goods</t>
  </si>
  <si>
    <t>NOTE 6 :TRADE RECEIVABLES</t>
  </si>
  <si>
    <t>Considered Good</t>
  </si>
  <si>
    <t xml:space="preserve">     Related Party</t>
  </si>
  <si>
    <t xml:space="preserve">     Other party</t>
  </si>
  <si>
    <t>Considered Doubtful</t>
  </si>
  <si>
    <t>NOTE 7 :CASH AND CASH EQUIVALENTS</t>
  </si>
  <si>
    <t>Cash and Cash Equivalents</t>
  </si>
  <si>
    <t>Cash on Hand</t>
  </si>
  <si>
    <t>Balances with Banks</t>
  </si>
  <si>
    <t>Current Account</t>
  </si>
  <si>
    <t>NOTE 8 : BANK BALANCES OTHER THAN CASH &amp; CASH EQUIVALENTS</t>
  </si>
  <si>
    <t>Other Bank Balance</t>
  </si>
  <si>
    <t>(Balance earmarked for Unclaimed Dividend)</t>
  </si>
  <si>
    <t>NOTE 9 : OTHER FINANCIAL ASSETS</t>
  </si>
  <si>
    <t>Unsecured &amp; Considered Good</t>
  </si>
  <si>
    <t>Loans &amp; Advances to Employees</t>
  </si>
  <si>
    <t>Balance with Government authorities</t>
  </si>
  <si>
    <t>NOTE 10 :OTHER CURRENT ASSETS</t>
  </si>
  <si>
    <t xml:space="preserve">Advance to Suppliers </t>
  </si>
  <si>
    <t xml:space="preserve">Insurance Claim Receivable </t>
  </si>
  <si>
    <t>VAT Receivable</t>
  </si>
  <si>
    <t>PSI Under Sales Tax receivable</t>
  </si>
  <si>
    <t>NOTE 11 : CURRENT TAX ASSET (NET)</t>
  </si>
  <si>
    <t>Income Tax Receivables (Net)</t>
  </si>
  <si>
    <t>NOTE 12 : SHARE CAPITAL</t>
  </si>
  <si>
    <t>AUTHORISED CAPITAL</t>
  </si>
  <si>
    <t>ISSUED, SUBSCRIBED AND PAID UP CAPITAL</t>
  </si>
  <si>
    <t>a. Details of shareholders holding more than 5% shares in the company</t>
  </si>
  <si>
    <t>31.03.2019</t>
  </si>
  <si>
    <t>NAME OF SHAREHOLDER</t>
  </si>
  <si>
    <t>% Held</t>
  </si>
  <si>
    <t>No.of Shares</t>
  </si>
  <si>
    <t>Akshay Omprakash Rathi</t>
  </si>
  <si>
    <t xml:space="preserve">Kailash P. Agarwal </t>
  </si>
  <si>
    <t xml:space="preserve">Mangla Omprakash Rathi  </t>
  </si>
  <si>
    <t>Omprakash Damodar Rathi</t>
  </si>
  <si>
    <t>Anil Kumar Lakhotiya</t>
  </si>
  <si>
    <t>b. Reconciliation of the number of shares outstanding at the beginning and at the end of the reporting period</t>
  </si>
  <si>
    <t>Equity Shares at the beginning of the year</t>
  </si>
  <si>
    <t>Add: Shares issued during the year</t>
  </si>
  <si>
    <t>Equity Shares at the end of the year</t>
  </si>
  <si>
    <t>c. The Company has not allotted any shares for consideration other than cash during 5 years preceding March 31, 2019</t>
  </si>
  <si>
    <t>d. Rights, preferences and restrictions attached to shares</t>
  </si>
  <si>
    <t>Equity shares</t>
  </si>
  <si>
    <t xml:space="preserve">The Company has one class of equity shares having a par value of Rs.10 each. Each shareholder is eligible for one vote per share held. The dividend proposed by the Board of Directors is subject to the approval of the shareholders in the ensuing Annual General Meeting, except in case of interim dividend. In the event of liquidation, the equity shareholders are eligible to receive the remaining assets of the Company after distribution of all preferential amounts, in proportion to their shareholding.                                    </t>
  </si>
  <si>
    <t>NOTE 13 : BORROWINGS</t>
  </si>
  <si>
    <t xml:space="preserve">                 </t>
  </si>
  <si>
    <t xml:space="preserve">Secured </t>
  </si>
  <si>
    <t xml:space="preserve">From Banks </t>
  </si>
  <si>
    <t>Term Loan from Bank (Refer Note. 17)</t>
  </si>
  <si>
    <t>From NBFC</t>
  </si>
  <si>
    <t>2) Loan of Rs, 7.50 Lacs payable in 24 Equated monthly installments of Rs. 35375/- per month against hypothecation of Mahindra Tractor -605.</t>
  </si>
  <si>
    <t>Unsecured Loans</t>
  </si>
  <si>
    <t>From Others</t>
  </si>
  <si>
    <t>Deferred Tax</t>
  </si>
  <si>
    <t>Deferred Tax Asset /Liabilities(Net)</t>
  </si>
  <si>
    <t>Mat Credit Entitlement</t>
  </si>
  <si>
    <t>From Banks</t>
  </si>
  <si>
    <t>Working Capital Facilities</t>
  </si>
  <si>
    <t>Payble for Goods &amp; Services</t>
  </si>
  <si>
    <t>Others</t>
  </si>
  <si>
    <t>Current Portion of Long Term Borrowings (Refer Note. 13)</t>
  </si>
  <si>
    <t xml:space="preserve"> - Term Loan from Bank</t>
  </si>
  <si>
    <t xml:space="preserve"> - Term Loan from NBFC</t>
  </si>
  <si>
    <t xml:space="preserve"> - Interest Accrued but not due on Term Loans</t>
  </si>
  <si>
    <t>Payable for Capital Goods</t>
  </si>
  <si>
    <t>Income Tax Payable</t>
  </si>
  <si>
    <t>Sale of Products</t>
  </si>
  <si>
    <t>Sundry Balance written back</t>
  </si>
  <si>
    <t>Gain /(Loss) on Foreign Exchange Fluctuation</t>
  </si>
  <si>
    <t>Power Incentive</t>
  </si>
  <si>
    <t>Profit on Sale of Fixed Assets</t>
  </si>
  <si>
    <t>PSI Subsidy</t>
  </si>
  <si>
    <t>Miscellaneous Income</t>
  </si>
  <si>
    <t>Interest Income</t>
  </si>
  <si>
    <t>Add:  Purchases</t>
  </si>
  <si>
    <t xml:space="preserve">Less: Closing Stock </t>
  </si>
  <si>
    <t>Less : Closing Stock</t>
  </si>
  <si>
    <t>Other Borrowing Cost</t>
  </si>
  <si>
    <t>MANUFACTURING EXPENSES</t>
  </si>
  <si>
    <t>Power and Fuel Consumed</t>
  </si>
  <si>
    <t>Power &amp; Fuel</t>
  </si>
  <si>
    <t>Stores &amp; Spares</t>
  </si>
  <si>
    <t>Packing Material</t>
  </si>
  <si>
    <t>Stores &amp; Spares Consumed</t>
  </si>
  <si>
    <t>Exp Incurred</t>
  </si>
  <si>
    <t>Packing Material Consumed</t>
  </si>
  <si>
    <t>Opening</t>
  </si>
  <si>
    <t>Closing</t>
  </si>
  <si>
    <t>Finished Goods Packing and Allied Charges</t>
  </si>
  <si>
    <t>Waste paper Feeding Charges</t>
  </si>
  <si>
    <t>Factory Expenses</t>
  </si>
  <si>
    <t>( A )</t>
  </si>
  <si>
    <t>ESTABLISHMENT EXPENSES</t>
  </si>
  <si>
    <t>Auditors Remuneration</t>
  </si>
  <si>
    <t>Statutory Audit Fees</t>
  </si>
  <si>
    <t>Internal Audit Fees</t>
  </si>
  <si>
    <t>Audit Expenses</t>
  </si>
  <si>
    <t>Repairs &amp; Maintenance</t>
  </si>
  <si>
    <t>Insurance Charges</t>
  </si>
  <si>
    <t>Rent for Office Premises</t>
  </si>
  <si>
    <t>Legal &amp; Professional Charges</t>
  </si>
  <si>
    <t>Travelling &amp; Conveyance</t>
  </si>
  <si>
    <t>Printing &amp; Stationery</t>
  </si>
  <si>
    <t>Office Expenses</t>
  </si>
  <si>
    <t xml:space="preserve">Bad Debts </t>
  </si>
  <si>
    <t>Listing Expense</t>
  </si>
  <si>
    <t>General Expenses</t>
  </si>
  <si>
    <t>( B )</t>
  </si>
  <si>
    <t>SELLING &amp; DISTRIBUTION EXPENSES</t>
  </si>
  <si>
    <t xml:space="preserve">Advertisement </t>
  </si>
  <si>
    <t>Commission on Sales</t>
  </si>
  <si>
    <t>Insurance on Sales</t>
  </si>
  <si>
    <t>( C )</t>
  </si>
  <si>
    <t>( A+ B + C )</t>
  </si>
  <si>
    <t>A (i)Items that will not be reclassified in the profit &amp; loss</t>
  </si>
  <si>
    <t>Remeasurement of defined benefit liabilities</t>
  </si>
  <si>
    <t>Revalution Surplus on Revaluation of Fixed Assest ( Land &amp; Building)</t>
  </si>
  <si>
    <t>-</t>
  </si>
  <si>
    <t>B (i) Items that will be reclassified to the profit &amp; loss</t>
  </si>
  <si>
    <t xml:space="preserve">(ii) Income tax relating to items that will  be reclassified to profit or loss </t>
  </si>
  <si>
    <t>Total (A+B)</t>
  </si>
  <si>
    <t>Net Profit after tax from continuing operation</t>
  </si>
  <si>
    <t>Earning per share</t>
  </si>
  <si>
    <t>Diluted Earning per Share</t>
  </si>
  <si>
    <t>Audit fee</t>
  </si>
  <si>
    <t>(a) Defined Benefit Plans:</t>
  </si>
  <si>
    <t>Gratuity Fund</t>
  </si>
  <si>
    <t>The present value of the defined benefit obligations and the related current service cost were measured using the Projected Unit Credit Method, with actuarial valuations being carried out at each balance sheet date. The following table provides the disclosures in accordance with IND AS 19.</t>
  </si>
  <si>
    <t>Reconciliation of present value of the obligation and the fair value of plan assets</t>
  </si>
  <si>
    <t xml:space="preserve">Reconcilation of Opening and Closing balance of the Present Value of the defined benefit obligation </t>
  </si>
  <si>
    <t>Obligation at period beginning</t>
  </si>
  <si>
    <t>Current service cost</t>
  </si>
  <si>
    <t>Past Service Cost</t>
  </si>
  <si>
    <t>Interest Cost</t>
  </si>
  <si>
    <t>Actuarial (gain) /  loss</t>
  </si>
  <si>
    <t>Benefits paid</t>
  </si>
  <si>
    <t>Actuarial (gain) /  loss due to Experience</t>
  </si>
  <si>
    <t>Obligations at the year end</t>
  </si>
  <si>
    <t>Change in Plan Assets</t>
  </si>
  <si>
    <t>Plan assets at period beginning, at fair value</t>
  </si>
  <si>
    <t>Expected return on plan assets</t>
  </si>
  <si>
    <t>Actuarial gain /  (loss)</t>
  </si>
  <si>
    <t>Contributions</t>
  </si>
  <si>
    <t>Plan assets at the year end, at fair value</t>
  </si>
  <si>
    <t>Fair Value of plan assets at the end of the year</t>
  </si>
  <si>
    <t>Present value of the defined benefit obligations at the end of the year</t>
  </si>
  <si>
    <t>Liabilities/(Assets) recognised in the Balance Sheet</t>
  </si>
  <si>
    <t>Cost for the year</t>
  </si>
  <si>
    <t>Net Cost recognised in the Statement of Profit and Loss</t>
  </si>
  <si>
    <t>Assumptions used to determine the benefit obligation:</t>
  </si>
  <si>
    <t>Discount Rate</t>
  </si>
  <si>
    <t>Estimated rate of return on plan assets</t>
  </si>
  <si>
    <t>Expected rate of increase in salary</t>
  </si>
  <si>
    <t>Attrition Rate</t>
  </si>
  <si>
    <t>Actual return on plan assets</t>
  </si>
  <si>
    <t>(b) Provident Fund</t>
  </si>
  <si>
    <t>“Contribution to provident and other funds” is recognised as an expense in the Statement of Profit and Loss.</t>
  </si>
  <si>
    <t>Directors/ Key Management Personnel</t>
  </si>
  <si>
    <t>Mr. Kailash Chand Agarwal</t>
  </si>
  <si>
    <t>Mr. Anil kumar Lakhotiya</t>
  </si>
  <si>
    <t>Mr. Jarnailsingh Saini</t>
  </si>
  <si>
    <t>Mr. Omprakash D. Rathi</t>
  </si>
  <si>
    <t>Enterprises in which there is a significant influence of Members/Directors</t>
  </si>
  <si>
    <t>Saini Transport Company</t>
  </si>
  <si>
    <t>Chandra Sales Corporation</t>
  </si>
  <si>
    <t>Chandra Coal Private Limited</t>
  </si>
  <si>
    <t>(a) Director's &amp;  Key Management Personnel Relative</t>
  </si>
  <si>
    <t>Mr. Sartaj Manindersingh Saini</t>
  </si>
  <si>
    <t>Mrs. Anita Lakhotiya</t>
  </si>
  <si>
    <t xml:space="preserve">Mrs. Sushil Kaur Saini </t>
  </si>
  <si>
    <t>Mr. Karnailsingh Saini</t>
  </si>
  <si>
    <t>Mr. Baljit Singh Saini</t>
  </si>
  <si>
    <t>Mrs. Snehlata A Lakhotiya</t>
  </si>
  <si>
    <t>Mr. Kuldeepsingh Saini</t>
  </si>
  <si>
    <t>Mrs. Hazelkaur Manindersingh Saini</t>
  </si>
  <si>
    <t>Mrs. Baljit Kaur</t>
  </si>
  <si>
    <t>Ms. Navita K. Agrawal</t>
  </si>
  <si>
    <t>Mrs. Amarjit kaur Saini</t>
  </si>
  <si>
    <t>Mrs.Satnamkaur Karnail Singh Saini</t>
  </si>
  <si>
    <t>Mr. Gaurav A Lakhotiya</t>
  </si>
  <si>
    <t>Disclosure of material transaction with related parties</t>
  </si>
  <si>
    <t>RELATED PARTY TRANSACTIONS DURING THE YEAR</t>
  </si>
  <si>
    <t>Profit &amp; loss A/c</t>
  </si>
  <si>
    <t>Sales</t>
  </si>
  <si>
    <t>Freight Charges</t>
  </si>
  <si>
    <t>Interest Paid</t>
  </si>
  <si>
    <t>Mr.Omprakash Damodar Rathi</t>
  </si>
  <si>
    <t>Mr. Kailashchandra P Agarwal</t>
  </si>
  <si>
    <t>Mr. Karnailsing Saini</t>
  </si>
  <si>
    <t>Mrs. Garima Maheshwari</t>
  </si>
  <si>
    <t>Mrs. Kailash Kaur</t>
  </si>
  <si>
    <t>Mrs. Sanjamkumar Saini</t>
  </si>
  <si>
    <t>Mrs. Kajal Sanjay Agrawal</t>
  </si>
  <si>
    <t>Mr. Gaurav Lakhotiya</t>
  </si>
  <si>
    <t>M/s. Saini Travesl Private Limited</t>
  </si>
  <si>
    <t>Director's Remuneration and Incentives</t>
  </si>
  <si>
    <t>Provident Fund</t>
  </si>
  <si>
    <t>Purchase of Coal</t>
  </si>
  <si>
    <t>Chandra Coal Private Ltd (Coal Purchase &amp; Coal Liasoning Cgarges)</t>
  </si>
  <si>
    <t>Purchase of Raw material (Net)</t>
  </si>
  <si>
    <t>Sale of Finished Goods (Net)</t>
  </si>
  <si>
    <t>Balance Sheet</t>
  </si>
  <si>
    <t>Loan Accepted</t>
  </si>
  <si>
    <t>Mr. Anil M. Lakhotiya</t>
  </si>
  <si>
    <t>Mr. Baljitsingh Saini</t>
  </si>
  <si>
    <t>Mr. Gaurav  Lakhotiya</t>
  </si>
  <si>
    <t>Sanjamkumar Saini</t>
  </si>
  <si>
    <t>Baljitkaur Saini</t>
  </si>
  <si>
    <t>Jarnailsingh Saini</t>
  </si>
  <si>
    <t>Kailashchandra P Agarwal</t>
  </si>
  <si>
    <t>Saini Travels Private Limited</t>
  </si>
  <si>
    <t>Loan Repaid</t>
  </si>
  <si>
    <t>CLOSING BALANCES</t>
  </si>
  <si>
    <t>Maximum Outstandings</t>
  </si>
  <si>
    <t>Loans Taken</t>
  </si>
  <si>
    <t>Baljit Singh Saini</t>
  </si>
  <si>
    <t>Mr. Baljit Kaur</t>
  </si>
  <si>
    <t xml:space="preserve">Trade Payables </t>
  </si>
  <si>
    <t>Chandra Coal Private Ltd</t>
  </si>
  <si>
    <t>Contingent liabilities not provided for in respect of:</t>
  </si>
  <si>
    <t>Bank Guarantee given to M.S.E.D.C.L.</t>
  </si>
  <si>
    <t>Bank Guarantee given to Western Coal Fields Ltd</t>
  </si>
  <si>
    <t>Bank Guarantee given to M.P.C.B.</t>
  </si>
  <si>
    <t>Excise Duty From F.Y.2008-09 to 2010-2011</t>
  </si>
  <si>
    <t xml:space="preserve"> - Demand Raised excluding interest</t>
  </si>
  <si>
    <t xml:space="preserve"> - Penalty Levied</t>
  </si>
  <si>
    <t>The Company had received demand of Rs 2,73,06,791 in earlier years on account of Excise Duty &amp; Penalty excluding interest for the period from  F.Y.2008-09 to 2010-2011.The Company had obtained stay order against the same and filed an appeal with Custom, Excise &amp; Service Tax Appellate Tribunal, Mumbai. Based on Legal advice , the Company had not made any provision against the same.</t>
  </si>
  <si>
    <t>Excise Duty From July 2003 to March 2004</t>
  </si>
  <si>
    <t>Excise Duty From April 2004 to October 2004</t>
  </si>
  <si>
    <t>The balances of Trade Payables, Trade Receivables and Loans &amp; Advances are subject to confirmation and reconciliation.</t>
  </si>
  <si>
    <t>NOTE 37 :</t>
  </si>
  <si>
    <t>The Company is into manufacturing of Kraft Paper which is considered as the only reportable segment. The Company’s operations are based in India.</t>
  </si>
  <si>
    <t>NOTE 38 :</t>
  </si>
  <si>
    <t>TOTAL</t>
  </si>
  <si>
    <t>NOTE 39 :</t>
  </si>
  <si>
    <t>In the opinion of the Board and as certified by the management, all expenses charged to revenue and various cash payments to the suppliers of materials and services through out the accounting year are genuine and have been solely and exclusively incurred out of business expediency.</t>
  </si>
  <si>
    <t>Unhedged Foreign Exchange Exposure</t>
  </si>
  <si>
    <t>Outstanding in Forex</t>
  </si>
  <si>
    <t>Outstanding in INR</t>
  </si>
  <si>
    <t>USD</t>
  </si>
  <si>
    <t>Advance to Suppliers for Capital goods and stores</t>
  </si>
  <si>
    <t>Nil</t>
  </si>
  <si>
    <t>Trade Payables for Raw Materials &amp; Stores</t>
  </si>
  <si>
    <t>Note: USD to INR conversion rate is Rs. 69.1713 per USD from RBI website dated 29/03/2019. (Rs. 64.0441 per USD dated 28/03/2018.)</t>
  </si>
  <si>
    <t>Previous year's figures have been regrouped and rearranged to correspond with the figures of current year wherever necessary.</t>
  </si>
  <si>
    <t>Row Labels</t>
  </si>
  <si>
    <t>Sum of DR-March 20</t>
  </si>
  <si>
    <t>Sum of CR-March 20</t>
  </si>
  <si>
    <t>Sum of DR-DEC 19</t>
  </si>
  <si>
    <t>Sum of CR-DEC 19</t>
  </si>
  <si>
    <t>opening stock Total</t>
  </si>
  <si>
    <t>Other Current Liabilities Total</t>
  </si>
  <si>
    <t>Other Income Total</t>
  </si>
  <si>
    <t>Trade Payables Total</t>
  </si>
  <si>
    <t>Trade Receivables Total</t>
  </si>
  <si>
    <t>Cash And Bank Balances Total</t>
  </si>
  <si>
    <t>Deferred Tax Liabilities  Total</t>
  </si>
  <si>
    <t>Depreciation &amp; Amortisation Total</t>
  </si>
  <si>
    <t>Employee Benefit Expenses Total</t>
  </si>
  <si>
    <t>Finance Costs Total</t>
  </si>
  <si>
    <t>Fixed Assets Total</t>
  </si>
  <si>
    <t>Long Term Borrowings Total</t>
  </si>
  <si>
    <t>Long Term Loans &amp; Advances Total</t>
  </si>
  <si>
    <t>Other Current Assets Total</t>
  </si>
  <si>
    <t>Other Expenses Total</t>
  </si>
  <si>
    <t>Other Non-Current Assets Total</t>
  </si>
  <si>
    <t>Raw Material Consumed Total</t>
  </si>
  <si>
    <t>Reserves &amp; Surplus Total</t>
  </si>
  <si>
    <t>Revenue From Operations Total</t>
  </si>
  <si>
    <t>Share Capital Total</t>
  </si>
  <si>
    <t>Short Term Borrowings Total</t>
  </si>
  <si>
    <t>Short Term Loans &amp; Advances Total</t>
  </si>
  <si>
    <t>Short Term Provision Total</t>
  </si>
  <si>
    <t>(blank)</t>
  </si>
  <si>
    <t>2 Total</t>
  </si>
  <si>
    <t>3 Total</t>
  </si>
  <si>
    <t>4 Total</t>
  </si>
  <si>
    <t>5 Total</t>
  </si>
  <si>
    <t>6 Total</t>
  </si>
  <si>
    <t>7 Total</t>
  </si>
  <si>
    <t>8 Total</t>
  </si>
  <si>
    <t>9 Total</t>
  </si>
  <si>
    <t>10 Total</t>
  </si>
  <si>
    <t>12 Total</t>
  </si>
  <si>
    <t>13 Total</t>
  </si>
  <si>
    <t>15 Total</t>
  </si>
  <si>
    <t>16 Total</t>
  </si>
  <si>
    <t>17 Total</t>
  </si>
  <si>
    <t>18 Total</t>
  </si>
  <si>
    <t>19 Total</t>
  </si>
  <si>
    <t>20 Total</t>
  </si>
  <si>
    <t>22 Total</t>
  </si>
  <si>
    <t>24 Total</t>
  </si>
  <si>
    <t>25 Total</t>
  </si>
  <si>
    <t>26 Total</t>
  </si>
  <si>
    <t>(blank) Total</t>
  </si>
  <si>
    <t xml:space="preserve">Persuant to the enactment of Companies Act, 2013, the Company has applied the estimated useful lives as specified in Schdule II, Accordingly the unamortised carrying value is being depreciated /amortised over the revised/remaining useful lives. The entity adopts the revaluation model under IND AS 16 for Land and Building pertaining to same class of assets. As per the management's estimation their is no material change in the valuation of Factory Land &amp; Building hence the no change in the valuction of Factory &amp; Building. </t>
  </si>
  <si>
    <t>Issued, Subscribed &amp; Paid Up Total</t>
  </si>
  <si>
    <t>Capital Reserve Total</t>
  </si>
  <si>
    <t>General Reserve Total</t>
  </si>
  <si>
    <t>Securities Premium Total</t>
  </si>
  <si>
    <t>Surplus Total</t>
  </si>
  <si>
    <t>Secured - From Banks - Term Loan Total</t>
  </si>
  <si>
    <t>Secured - From Other - Term Loan Total</t>
  </si>
  <si>
    <t>Unsecured-From Related Party Total</t>
  </si>
  <si>
    <t>Deferred Tax Liability Total</t>
  </si>
  <si>
    <t>Secured - From Banks - Working Capital Loan Total</t>
  </si>
  <si>
    <t>Trade Payables - Others Total</t>
  </si>
  <si>
    <t>Advance For Capital Goods Total</t>
  </si>
  <si>
    <t>Dividend Payable Total</t>
  </si>
  <si>
    <t>Employee Payables Total</t>
  </si>
  <si>
    <t>Statutory Dues Total</t>
  </si>
  <si>
    <t>Trade Payables for capital goods Total</t>
  </si>
  <si>
    <t>Provision for Employee Benefit Total</t>
  </si>
  <si>
    <t>Depreciation Total</t>
  </si>
  <si>
    <t>Capital WIP Total</t>
  </si>
  <si>
    <t>Tangible Asset Total</t>
  </si>
  <si>
    <t>Tangible Asset - PFD Total</t>
  </si>
  <si>
    <t>Advance Income Tax Total</t>
  </si>
  <si>
    <t>Balance with Government Authorities Total</t>
  </si>
  <si>
    <t>Loans and Advances to Employees Total</t>
  </si>
  <si>
    <t>Long Term Deposits Total</t>
  </si>
  <si>
    <t>MAT Credit Entitlement Total</t>
  </si>
  <si>
    <t>Balance with Bank in Deposit Accounts Total</t>
  </si>
  <si>
    <t>Other Debts Total</t>
  </si>
  <si>
    <t>Other Debts - Export Total</t>
  </si>
  <si>
    <t>Balance With Bank - Current A/c Total</t>
  </si>
  <si>
    <t>Balance With Bank - Other Bank Balance Total</t>
  </si>
  <si>
    <t>Cash On Hand Total</t>
  </si>
  <si>
    <t>Advance to Suppliers Total</t>
  </si>
  <si>
    <t>Insurance claim Receivable Total</t>
  </si>
  <si>
    <t>Prepaid Expenses Total</t>
  </si>
  <si>
    <t>Sale of Goods - Manufacturing Sales Total</t>
  </si>
  <si>
    <t>Assessment Refund Total</t>
  </si>
  <si>
    <t>Foreign Exchange Fluctuation Gain on RM Total</t>
  </si>
  <si>
    <t>Interest Received Total</t>
  </si>
  <si>
    <t>Profit on Sale of Asset Total</t>
  </si>
  <si>
    <t>Raw Material Purchase Total</t>
  </si>
  <si>
    <t>Contribution to Funds Total</t>
  </si>
  <si>
    <t>Salary &amp; Wages Total</t>
  </si>
  <si>
    <t>Staff Welfare Expenses Total</t>
  </si>
  <si>
    <t>Interest Expenses Total</t>
  </si>
  <si>
    <t>Other Borrowing Costs Total</t>
  </si>
  <si>
    <t>Bad Debts Total</t>
  </si>
  <si>
    <t>Donation Total</t>
  </si>
  <si>
    <t>Establishment Expenses-Auditors Remuneration Total</t>
  </si>
  <si>
    <t>Establishment Expenses-Bank Charges Total</t>
  </si>
  <si>
    <t>Establishment Expenses-General Expenses Total</t>
  </si>
  <si>
    <t>Establishment Expenses-Insurance Charges Total</t>
  </si>
  <si>
    <t>Establishment Expenses-Legal &amp; Professional Charges Total</t>
  </si>
  <si>
    <t>Establishment Expenses-Listing Expense Total</t>
  </si>
  <si>
    <t>Establishment Expenses-Office Expenses Total</t>
  </si>
  <si>
    <t>Establishment Expenses-Printing &amp; Stationery Total</t>
  </si>
  <si>
    <t>Establishment Expenses-Rates &amp; Taxes Total</t>
  </si>
  <si>
    <t>Establishment Expenses-Rent Total</t>
  </si>
  <si>
    <t>Establishment Expenses-Rep. &amp; Maint. Others Total</t>
  </si>
  <si>
    <t>Establishment Expenses-Rep. &amp; Maint. Vehicle Total</t>
  </si>
  <si>
    <t>Establishment Expenses-Telephone Charges Total</t>
  </si>
  <si>
    <t>Establishment Expenses-Travelling &amp; Conveyance Total</t>
  </si>
  <si>
    <t>Manufacturin Expenses - FG Packing &amp; Allied Chgs Total</t>
  </si>
  <si>
    <t>Manufacturin Expenses - RM Sorting Charges Total</t>
  </si>
  <si>
    <t>Manufacturing Expenses - Factory Expenses Total</t>
  </si>
  <si>
    <t>Manufacturing Expenses - Packing Material Consumed Total</t>
  </si>
  <si>
    <t>Manufacturing Expenses - Power &amp; Fuel Consumed Total</t>
  </si>
  <si>
    <t>Manufacturing Expenses - Security Service Charges Total</t>
  </si>
  <si>
    <t>Manufacturing Expenses - Stores &amp; Spares Consumed Total</t>
  </si>
  <si>
    <t>Manufacturing Expenses - Waste Paper Feeding Chgs Total</t>
  </si>
  <si>
    <t>Manufacturing Expenses-Repairs &amp; Maintainence Building Total</t>
  </si>
  <si>
    <t>Manufacturing Expenses-Repairs &amp; Maintainence Machinery Total</t>
  </si>
  <si>
    <t>Selling &amp; Dist.-Advertisement Expenses Total</t>
  </si>
  <si>
    <t>Selling &amp; Dist.-Discount &amp; Commission Total</t>
  </si>
  <si>
    <t>Selling &amp; Dist.-Insurance on Sales Total</t>
  </si>
  <si>
    <t>Monthly Principal Rpayment</t>
  </si>
  <si>
    <t>HARDOLI PAPER MILLS LIMITED - SUNDARAM FINANCE</t>
  </si>
  <si>
    <t xml:space="preserve">NO. OF MONTHS </t>
  </si>
  <si>
    <t>Loan Amount</t>
  </si>
  <si>
    <t>Year</t>
  </si>
  <si>
    <t>MONTHLY INSTALMENT</t>
  </si>
  <si>
    <t>Balance</t>
  </si>
  <si>
    <t>Balance as per Book</t>
  </si>
  <si>
    <t>Diff</t>
  </si>
  <si>
    <t>SBI</t>
  </si>
  <si>
    <t>TL - 35531440563</t>
  </si>
  <si>
    <t>2016-17</t>
  </si>
  <si>
    <t>TL - N006700064</t>
  </si>
  <si>
    <t>2020-21</t>
  </si>
  <si>
    <t>TL - 34484493547</t>
  </si>
  <si>
    <t>2015-16</t>
  </si>
  <si>
    <t>TL - N006700059</t>
  </si>
  <si>
    <t>2015-17</t>
  </si>
  <si>
    <t>TL - N036300010</t>
  </si>
  <si>
    <t>TL - 33517180072</t>
  </si>
  <si>
    <t>2014-15</t>
  </si>
  <si>
    <t>TL - 35294966669</t>
  </si>
  <si>
    <t>Principal Repayment</t>
  </si>
  <si>
    <t>TDS PAID</t>
  </si>
  <si>
    <t>HARDOLI PAPER MILLS LTD,</t>
  </si>
  <si>
    <t>RAW MATERIAL PURCHASE,CONSUMPTION &amp; CLOSING STOCK AS ON 31-03-2020</t>
  </si>
  <si>
    <t>S.R.NO.</t>
  </si>
  <si>
    <t>OPENING STOCK</t>
  </si>
  <si>
    <t>PURCHASE</t>
  </si>
  <si>
    <t>CONSUMPTION</t>
  </si>
  <si>
    <t>CLOSING STOCK</t>
  </si>
  <si>
    <t>QTY</t>
  </si>
  <si>
    <t>RATE</t>
  </si>
  <si>
    <t>AMOUNT</t>
  </si>
  <si>
    <t>FREIGHT</t>
  </si>
  <si>
    <t>A)</t>
  </si>
  <si>
    <t>WASTE KRAFT (LOCAL)</t>
  </si>
  <si>
    <t>B)</t>
  </si>
  <si>
    <t>SUPERIOR KRAFT (OCC)</t>
  </si>
  <si>
    <t>TRANSIT-(OCC)</t>
  </si>
  <si>
    <t>TOTAL (A+B+C)</t>
  </si>
  <si>
    <t>C)</t>
  </si>
  <si>
    <t>PACKING MATRIAL</t>
  </si>
  <si>
    <t>D)</t>
  </si>
  <si>
    <t>CHEMICAL</t>
  </si>
  <si>
    <t>CHEMICAL ( SALES )</t>
  </si>
  <si>
    <t>E)</t>
  </si>
  <si>
    <t>COAL</t>
  </si>
  <si>
    <t>TOTAL (A+B+C+D+E)</t>
  </si>
  <si>
    <t>F)</t>
  </si>
  <si>
    <t>FINISHED GOODS</t>
  </si>
  <si>
    <t>G)</t>
  </si>
  <si>
    <t>STORE &amp; SPARES</t>
  </si>
  <si>
    <t>GRAND TOTAL(A:G)</t>
  </si>
  <si>
    <t>WASTE PAPER</t>
  </si>
  <si>
    <t>As  Per Tally</t>
  </si>
  <si>
    <t>As per Working</t>
  </si>
  <si>
    <t>As per Tally</t>
  </si>
  <si>
    <t>diff</t>
  </si>
  <si>
    <t>COAL Purchase</t>
  </si>
  <si>
    <t>CGST @ 9% on OCC Expenses</t>
  </si>
  <si>
    <t>INPUT RCM ON SGST</t>
  </si>
  <si>
    <t>NINGBO KIN-LINK FRICTION CO. LTD.(Export)</t>
  </si>
  <si>
    <t>SGST @ 9% on OCC Expenses</t>
  </si>
  <si>
    <t>NOTES TO FINANCIAL STATEMENT FOR THE YEAR ENDED 31ST MARCH, 2020</t>
  </si>
  <si>
    <t>31.03.2020</t>
  </si>
  <si>
    <t>BALANCE SHEET AS AT 31ST MARCH, 2020</t>
  </si>
  <si>
    <t>GST</t>
  </si>
  <si>
    <t>Admissible</t>
  </si>
  <si>
    <t>Receivable</t>
  </si>
  <si>
    <t>MVAT</t>
  </si>
  <si>
    <t>Total Subsidy</t>
  </si>
  <si>
    <t>75 / 85 % of admissible</t>
  </si>
  <si>
    <t>Note : Amount receivable i.e. Rs. 7440550/- to be treated as current assets under Note 10 Other Current Assets</t>
  </si>
  <si>
    <t>Income Tax Receivable (Refund)</t>
  </si>
  <si>
    <t>Provision of Earlier Year</t>
  </si>
  <si>
    <t>2021-22</t>
  </si>
  <si>
    <t>Long Term</t>
  </si>
  <si>
    <t>Short Term</t>
  </si>
  <si>
    <t>Loan Account No.</t>
  </si>
  <si>
    <t>Summary - SBI TL</t>
  </si>
  <si>
    <t>Summary - Sundaram TL</t>
  </si>
  <si>
    <t>Queries</t>
  </si>
  <si>
    <t>Unsecured Loan</t>
  </si>
  <si>
    <t>As per Calculation</t>
  </si>
  <si>
    <t>As pr tally</t>
  </si>
  <si>
    <t>Difference</t>
  </si>
  <si>
    <t>Sartaj Menindersing saini</t>
  </si>
  <si>
    <t>Baljitkaur Manindersingh Saini</t>
  </si>
  <si>
    <t>Difference in Unsecured Loans</t>
  </si>
  <si>
    <t>TDS</t>
  </si>
  <si>
    <t>Uttam Shetty</t>
  </si>
  <si>
    <t>Amount Paid</t>
  </si>
  <si>
    <t>TDS Deductible</t>
  </si>
  <si>
    <t>TDS Deducted</t>
  </si>
  <si>
    <t>Short Deduction</t>
  </si>
  <si>
    <t>Date</t>
  </si>
  <si>
    <t>Interest on FD statement for FD 325726636355 not yet provided.</t>
  </si>
  <si>
    <t>Party Confirmations of Deposit with MSMC, Deposit with import OCC, still pending, please provide the Telephone Bill of March 2020, stating the deposit of Rs. 9500/-.</t>
  </si>
  <si>
    <t>DIC Subsidy application copy of FY 2017-18 &amp; application copy of FY 2018-19.</t>
  </si>
  <si>
    <t>In calculation of closing stock of OCC imported material, round off of stock is taken, reason. Also please provide the detailed working of valuation of OCC imported material.</t>
  </si>
  <si>
    <t>Innovative Solutions &amp; Systems</t>
  </si>
  <si>
    <t>Provision for GST Audit Fees Pending.</t>
  </si>
  <si>
    <t xml:space="preserve">NAME                                                       </t>
  </si>
  <si>
    <t>:</t>
  </si>
  <si>
    <t>HARDOLI PAPER MILLS LTD.</t>
  </si>
  <si>
    <t xml:space="preserve">ADDRESS                                                  </t>
  </si>
  <si>
    <t xml:space="preserve">C/ 8, Saroj Apartments, </t>
  </si>
  <si>
    <t>Opp. Holy Spirit Hospital ,</t>
  </si>
  <si>
    <t>Andheri  (East),</t>
  </si>
  <si>
    <t>Mumbai – 400 093.</t>
  </si>
  <si>
    <t>STATUS</t>
  </si>
  <si>
    <t>PUBLIC LIMITED COMPANY</t>
  </si>
  <si>
    <t>PREVIOUS YEAR</t>
  </si>
  <si>
    <t xml:space="preserve">ASSESSMENT YEAR                                 </t>
  </si>
  <si>
    <t>G.I.R NO.</t>
  </si>
  <si>
    <t xml:space="preserve">   DC SR. 22/5H</t>
  </si>
  <si>
    <t>PAN NO.</t>
  </si>
  <si>
    <t>AAACH 1472 N</t>
  </si>
  <si>
    <t>COMPUTATION OF INCOME</t>
  </si>
  <si>
    <t>Profit as per Profit and Loss Statement after extraordinary item</t>
  </si>
  <si>
    <t>ADD : DISALLOWANCE CONSIDERED SEPARATELY</t>
  </si>
  <si>
    <t>Depreciation as per books</t>
  </si>
  <si>
    <t xml:space="preserve">Provision for Gratuity </t>
  </si>
  <si>
    <t>Prior Period Expense</t>
  </si>
  <si>
    <t>Employee Contribution to PF</t>
  </si>
  <si>
    <t xml:space="preserve">Bonus </t>
  </si>
  <si>
    <t>Penalties</t>
  </si>
  <si>
    <t>Interest on Excise Duty</t>
  </si>
  <si>
    <t>LESS : ALLOWANCE CONSIDERED SEPARATELY</t>
  </si>
  <si>
    <t>Profit on Sales of Computer</t>
  </si>
  <si>
    <t>Depreciation as per Income Tax</t>
  </si>
  <si>
    <t>Incentive Received</t>
  </si>
  <si>
    <t>LESS : UTILISATION OF UNABSORBED DEPRECIATION</t>
  </si>
  <si>
    <t>ADD : UNABSORBED DEPRECIATION TO BE CARRIED FORWARD</t>
  </si>
  <si>
    <t>Payment of Gratuity for earlier years</t>
  </si>
  <si>
    <t>Excess provision for bonus for earlier year</t>
  </si>
  <si>
    <t>Bonus paid for last year u/s 43B</t>
  </si>
  <si>
    <t>GROSS TOTAL INCOME</t>
  </si>
  <si>
    <t xml:space="preserve">TOTAL INCOME </t>
  </si>
  <si>
    <t>Profit on Sale of Mutual fund</t>
  </si>
  <si>
    <t>Less:Exempt Income - u/s 10(38)</t>
  </si>
  <si>
    <t>Less : Set off of Losses</t>
  </si>
  <si>
    <t>TAX ON TOTAL INCOME  (A)</t>
  </si>
  <si>
    <t>COMPUTATION UNDER SECTION 115JB</t>
  </si>
  <si>
    <t>Less : Depreciation or book loss (whichever is lower)</t>
  </si>
  <si>
    <t>BOOK PROFIT</t>
  </si>
  <si>
    <t>TAX ON INCOME  (B)</t>
  </si>
  <si>
    <t>A OR B WHICHEVER IS HIGHER</t>
  </si>
  <si>
    <t>Add  : Surcharge @ 7%</t>
  </si>
  <si>
    <t>Add  : Education Cess @ 3%</t>
  </si>
  <si>
    <t>TOTAL TAX PAYABLE</t>
  </si>
  <si>
    <t>Less : Tax Paid</t>
  </si>
  <si>
    <t xml:space="preserve">           (a)  TDS and TCS ( As per 26 AS)</t>
  </si>
  <si>
    <t xml:space="preserve">           (b)  MAT Utilised</t>
  </si>
  <si>
    <t xml:space="preserve">           (c)  Advance Tax</t>
  </si>
  <si>
    <t>Add  : Interest  u/s 234C</t>
  </si>
  <si>
    <t>Less : Self Assessment Tax Paid</t>
  </si>
  <si>
    <t>BALANCE TAX PAYABLE / (REFUNDABLE)</t>
  </si>
  <si>
    <t>A.Y.2015-16</t>
  </si>
  <si>
    <t>A.Y.2010-11</t>
  </si>
  <si>
    <t>A.Y.2013-14</t>
  </si>
  <si>
    <t>A.Y.2014-15</t>
  </si>
  <si>
    <t>A.Y.2018-19</t>
  </si>
  <si>
    <t>Utilised/cf</t>
  </si>
  <si>
    <t>MAT Credit</t>
  </si>
  <si>
    <t>Tax as per IT</t>
  </si>
  <si>
    <t>Tax payable as per IT</t>
  </si>
  <si>
    <t>Tax as per 115JB</t>
  </si>
  <si>
    <t>18.5% of Book Profit</t>
  </si>
  <si>
    <t>Tax payable as per 115JB</t>
  </si>
  <si>
    <t>MAT Entitlement</t>
  </si>
  <si>
    <t>MAT Utilised</t>
  </si>
  <si>
    <t>Calculation of Maximum Remuneration to Director u/s 197 of  Companies Act 2013</t>
  </si>
  <si>
    <t>In case of No profit /Loss/Inedaqate Profit</t>
  </si>
  <si>
    <t>Mat Credit Utilisation working</t>
  </si>
  <si>
    <t>Effective capital :</t>
  </si>
  <si>
    <t>IT</t>
  </si>
  <si>
    <t>MAT</t>
  </si>
  <si>
    <t>Paid up capial</t>
  </si>
  <si>
    <t>SC</t>
  </si>
  <si>
    <t xml:space="preserve">Reserves </t>
  </si>
  <si>
    <t>EC</t>
  </si>
  <si>
    <t>Long term loans and deposit</t>
  </si>
  <si>
    <t>repayment after 1 year</t>
  </si>
  <si>
    <t>Investments</t>
  </si>
  <si>
    <t>Celing Limit</t>
  </si>
  <si>
    <t>Effective capital  between  5 Crores - 10 Crores</t>
  </si>
  <si>
    <t>Total Remuneration Allowable</t>
  </si>
  <si>
    <t>Actual Given</t>
  </si>
  <si>
    <t>Short</t>
  </si>
  <si>
    <t>A.Y.2020-21</t>
  </si>
  <si>
    <t>Shankar Trading Company  - Bad Debts &amp; Sundry Balance both entry passed on 31/03/2020.</t>
  </si>
  <si>
    <t>VAT (Earlier Tax Paid) FY 2017-18 &amp; VAT (Earlier Tax Paid) FY 2016-17, whether receivable from VAT Departments. Whether assessment is still pending. Please let us know the status.</t>
  </si>
  <si>
    <t>Interest Certificate from Bank still Pending.</t>
  </si>
  <si>
    <t>26AS reconciliation with Books.</t>
  </si>
  <si>
    <t>Patni Auto services LLP</t>
  </si>
  <si>
    <t>Term Loan Statements Sundaram Finance all the 3 loans for FY 2019-20.</t>
  </si>
  <si>
    <t>NOC / Loan Completion certificate from Sundaram Finance.</t>
  </si>
  <si>
    <t>Sales Tax Assessment 2012-13, cannot be grouped under Financial Expenses head.</t>
  </si>
  <si>
    <t>Payment done to Srushti Seva Private Limited.</t>
  </si>
  <si>
    <t>GST Audit Fees Provision &amp; TDS on same not yet done.</t>
  </si>
  <si>
    <t>No PF, ESIC &amp; PT deduction on salary to Company Secretary….?</t>
  </si>
  <si>
    <t>GST Audit Fees Written of &amp; Bill Charged to Profit &amp; Loss Account…? Please refer GST Audit fees payable account &amp; GST Audit Fees Account.</t>
  </si>
  <si>
    <t>Sundry Bal W/ff Statement &amp; Bad Debts Statement with reason &amp; sign of Authorised signatory not yet received.</t>
  </si>
  <si>
    <t>Rectify the gratuity Entry as per Acturial Report.</t>
  </si>
  <si>
    <t>Details of purchase from Dandong Shengxing Paper Machinery Co. Ltd.</t>
  </si>
  <si>
    <t>Details of Purchase from Ashutosh Enterprises.</t>
  </si>
  <si>
    <t xml:space="preserve">Stores &amp; Stock Reconciliation statement stil pending </t>
  </si>
  <si>
    <t>Travelling Expenses - Foreign Tour</t>
  </si>
  <si>
    <t>HARDOLI PAPER MILLS LTD</t>
  </si>
  <si>
    <t>ASSESSMENT YEAR 2019-20</t>
  </si>
  <si>
    <t>ANNEXURE A</t>
  </si>
  <si>
    <t>RE: PARTICULARS OF DEPRECIATION ALLOWABLE AS PER INCOME TAX ACT</t>
  </si>
  <si>
    <t>REF : CLAUSE '18' OF FORM 3CD</t>
  </si>
  <si>
    <t>S.No.</t>
  </si>
  <si>
    <t>Name Of Asset</t>
  </si>
  <si>
    <t xml:space="preserve">Rate of </t>
  </si>
  <si>
    <t>W.D.V.as on</t>
  </si>
  <si>
    <t>Addition</t>
  </si>
  <si>
    <t>Exchange Difference (Gain)/ Loss</t>
  </si>
  <si>
    <t>Deletions</t>
  </si>
  <si>
    <t xml:space="preserve">Depreciation </t>
  </si>
  <si>
    <t>Additional Depreciation for the Current Year</t>
  </si>
  <si>
    <t>Additional Depreciation for the Preceeding Year</t>
  </si>
  <si>
    <t>Total 
Depreciation</t>
  </si>
  <si>
    <t xml:space="preserve">W.D.V.as on </t>
  </si>
  <si>
    <t>Additional Depreciation to be carried forward</t>
  </si>
  <si>
    <t>Depren</t>
  </si>
  <si>
    <t>Before 6</t>
  </si>
  <si>
    <t>After 6</t>
  </si>
  <si>
    <t>Allowable</t>
  </si>
  <si>
    <t>Months</t>
  </si>
  <si>
    <t>BLOCK I</t>
  </si>
  <si>
    <t>Land</t>
  </si>
  <si>
    <t>Block I Total</t>
  </si>
  <si>
    <t>BLOCK II</t>
  </si>
  <si>
    <t>Block II Total</t>
  </si>
  <si>
    <t>BLOCK III</t>
  </si>
  <si>
    <t xml:space="preserve">Furniture &amp; Fixtures </t>
  </si>
  <si>
    <t>Electric Installation</t>
  </si>
  <si>
    <t>Block III Total</t>
  </si>
  <si>
    <t>BLOCK IV</t>
  </si>
  <si>
    <t>Car &amp; Motor Vehicle</t>
  </si>
  <si>
    <t>Block IV Total</t>
  </si>
  <si>
    <t>BLOCK V</t>
  </si>
  <si>
    <t>a</t>
  </si>
  <si>
    <t>b</t>
  </si>
  <si>
    <t>Plant &amp; Machinery (No Add Dep)</t>
  </si>
  <si>
    <t>c</t>
  </si>
  <si>
    <t>Pollution Control Equipment</t>
  </si>
  <si>
    <t>Office Equipments</t>
  </si>
  <si>
    <t>Block V Total</t>
  </si>
  <si>
    <t>BLOCK VI</t>
  </si>
  <si>
    <t>Computers</t>
  </si>
  <si>
    <t>Block VI Total</t>
  </si>
  <si>
    <t>Additions</t>
  </si>
  <si>
    <t>Rate</t>
  </si>
  <si>
    <t>Additonal Dep.</t>
  </si>
  <si>
    <t>Before</t>
  </si>
  <si>
    <t>After</t>
  </si>
  <si>
    <t>Additonal to be carried forward</t>
  </si>
  <si>
    <t>(as per details given below)</t>
  </si>
  <si>
    <t>Plant and Machiney</t>
  </si>
  <si>
    <t>Computation of additional deprecation 2019-20</t>
  </si>
  <si>
    <t>Additional dep of last year 2018-19</t>
  </si>
  <si>
    <t>AY 2019-20</t>
  </si>
  <si>
    <t>Actual  Value (Rs.)</t>
  </si>
  <si>
    <t>Tax Value (Rs.)</t>
  </si>
  <si>
    <t>Difference on account of Depreciation</t>
  </si>
  <si>
    <t>WDV as per Companies Act (excluding Revaluation reserve)</t>
  </si>
  <si>
    <t>WDV as per Income Tax Act</t>
  </si>
  <si>
    <t xml:space="preserve">                  Deferred Tax Liability</t>
  </si>
  <si>
    <t>Provision for Bonus</t>
  </si>
  <si>
    <t>Provision for Gratuity</t>
  </si>
  <si>
    <t>Provision for Leave encashment</t>
  </si>
  <si>
    <t>Business Losses</t>
  </si>
  <si>
    <t>Deferred Tax Asset</t>
  </si>
  <si>
    <t>Total Deferred Tax Asset</t>
  </si>
  <si>
    <t>Total Deferred Tax Liability</t>
  </si>
  <si>
    <t>Opening Balance of Deferred Tax Liability</t>
  </si>
  <si>
    <t>Clubbed Entry</t>
  </si>
  <si>
    <t xml:space="preserve">Profit &amp; Loss A/c                                   </t>
  </si>
  <si>
    <t xml:space="preserve"> Dr.</t>
  </si>
  <si>
    <t xml:space="preserve">         To Deferred Tax Liability</t>
  </si>
  <si>
    <t>Deferred Tax Assets for the year ended 31.03.20</t>
  </si>
  <si>
    <t>01.04.2019</t>
  </si>
  <si>
    <t>CGST @9% on Other Sales</t>
  </si>
  <si>
    <t>GST Audit Fees A. Y. 2019-2020</t>
  </si>
  <si>
    <t>GST Audit Fees F.Y.2018-19</t>
  </si>
  <si>
    <t>SGST @9% ON OTHER SALES</t>
  </si>
  <si>
    <t>T.C.S. (A.Y.2020-21)</t>
  </si>
  <si>
    <t>Hardoli  Paper  Mills  Ltd</t>
  </si>
  <si>
    <t>Valuation as  per cost</t>
  </si>
  <si>
    <t xml:space="preserve">Production  </t>
  </si>
  <si>
    <t>Excluded</t>
  </si>
  <si>
    <t>Overheads</t>
  </si>
  <si>
    <t>Amount</t>
  </si>
  <si>
    <t xml:space="preserve">Raw Material Consumption </t>
  </si>
  <si>
    <t>Salary  &amp; Wages</t>
  </si>
  <si>
    <t>Incentive on Power Consumption</t>
  </si>
  <si>
    <t>Security  Service  Charges</t>
  </si>
  <si>
    <t>Stores  &amp;  Spares  Consumed</t>
  </si>
  <si>
    <t>Packing  Material Consumed</t>
  </si>
  <si>
    <t>Repair  &amp;  Maint</t>
  </si>
  <si>
    <t>Factory  Expenses</t>
  </si>
  <si>
    <t>Waste paper Fedding Charges</t>
  </si>
  <si>
    <t>Administration Cost</t>
  </si>
  <si>
    <t>Cost /MT</t>
  </si>
  <si>
    <t>Total Cost/MT</t>
  </si>
  <si>
    <t xml:space="preserve">Cl. Stock </t>
  </si>
  <si>
    <t>Valuation at cost</t>
  </si>
  <si>
    <t>Cost or NRV whichever is  lower</t>
  </si>
  <si>
    <t>ASSESSMENT YEAR 2020-21</t>
  </si>
  <si>
    <t>2019-2020</t>
  </si>
  <si>
    <t>Sales Register</t>
  </si>
  <si>
    <t>1-Apr-2020 to 31-Mar-2021</t>
  </si>
  <si>
    <t>Voucher Type</t>
  </si>
  <si>
    <t>Voucher No.</t>
  </si>
  <si>
    <t>Voucher Ref. No.</t>
  </si>
  <si>
    <t>Quantity</t>
  </si>
  <si>
    <t>Gross Total</t>
  </si>
  <si>
    <t>HPML/20-21/001</t>
  </si>
  <si>
    <t>CCPL-00038</t>
  </si>
  <si>
    <t>HPML/20-21/002</t>
  </si>
  <si>
    <t>HPML/19-20/2459,2505</t>
  </si>
  <si>
    <t>HPML/20-21/003</t>
  </si>
  <si>
    <t>HPML/20-21/001,002 DT.04.04.2020</t>
  </si>
  <si>
    <t>HPML/20-21/004</t>
  </si>
  <si>
    <t>HPML/20-21/004 DT.04.04.2020</t>
  </si>
  <si>
    <t>HPML/20-21/005</t>
  </si>
  <si>
    <t>HPML/19-20/2460,2507 DT.28.2&amp;03.03.20</t>
  </si>
  <si>
    <t>HPML/20-21/006</t>
  </si>
  <si>
    <t>HPML/20-21/007</t>
  </si>
  <si>
    <t>HPML/19-20/2591 DT.12.03.2020</t>
  </si>
  <si>
    <t>HPML/20-21/008</t>
  </si>
  <si>
    <t>HPML/19-20/2637 DT.20.03.2020</t>
  </si>
  <si>
    <t>HPML/20-21/009</t>
  </si>
  <si>
    <t>HPML/20-21/006 DT.05.04.2020</t>
  </si>
  <si>
    <t>HPML/20-21/010</t>
  </si>
  <si>
    <t>HPML/20-21/011</t>
  </si>
  <si>
    <t>HPML/19-20/2637</t>
  </si>
  <si>
    <t>HPML/20-21/012</t>
  </si>
  <si>
    <t>HPML/20-21/013</t>
  </si>
  <si>
    <t>HPML/19-20/2462,2505,03.03.20</t>
  </si>
  <si>
    <t>HPML/20-21/014</t>
  </si>
  <si>
    <t>HPML/19-20/2468 DT.29.02.2020</t>
  </si>
  <si>
    <t>HPML/20-21/015</t>
  </si>
  <si>
    <t>HPML/20-21/009 DT.07.04.2020</t>
  </si>
  <si>
    <t>HPML/20-21/016</t>
  </si>
  <si>
    <t>HPML/19-20/2634 DT.20.03.2020</t>
  </si>
  <si>
    <t>HPML/20-21/017</t>
  </si>
  <si>
    <t>HPML/20-21/003 DT.04.04.2020</t>
  </si>
  <si>
    <t>HPML/20-21/018</t>
  </si>
  <si>
    <t>HPML/19-20/2388 DT.,22.02.2020</t>
  </si>
  <si>
    <t>HPML/20-21/019</t>
  </si>
  <si>
    <t>HPML/20-21/010 DT.08.04.2020</t>
  </si>
  <si>
    <t>HPML/20-21/020</t>
  </si>
  <si>
    <t>HPML/20-21/021</t>
  </si>
  <si>
    <t>HPML/19-20/2566</t>
  </si>
  <si>
    <t>HPML/20-21/022</t>
  </si>
  <si>
    <t>HPML/19-20/2639,2642</t>
  </si>
  <si>
    <t>HPML/20-21/023</t>
  </si>
  <si>
    <t>HPML/20-21/024</t>
  </si>
  <si>
    <t>HPML/19-20/2502,2507,2509,2511 DT.03.03.2020</t>
  </si>
  <si>
    <t>HPML/20-21/025</t>
  </si>
  <si>
    <t>HPML/20-21/012 DT.08.04.2020</t>
  </si>
  <si>
    <t>HPML/20-21/026</t>
  </si>
  <si>
    <t>HPML/19-21/2389,014 DT.22.02&amp;11.04.2020</t>
  </si>
  <si>
    <t>HPML/20-21/027</t>
  </si>
  <si>
    <t>HPML/20-21/015 DT.11.04.2020</t>
  </si>
  <si>
    <t>HPML/20-21/028</t>
  </si>
  <si>
    <t>HPML/20-21/016 DT.13.04.2020</t>
  </si>
  <si>
    <t>HPML/20-21/029</t>
  </si>
  <si>
    <t>HPML/20-21/017 DT.13.04.2020</t>
  </si>
  <si>
    <t>HPML/20-21/030</t>
  </si>
  <si>
    <t>HPML/20-21/19 DT.13.04.2020</t>
  </si>
  <si>
    <t>HPML/20-21/031</t>
  </si>
  <si>
    <t>HPML/20-21/18 DT.13.04.2020</t>
  </si>
  <si>
    <t>HPML/20-21/032</t>
  </si>
  <si>
    <t>HPML/20-21/17 DT.13.04.2020</t>
  </si>
  <si>
    <t>JAYSHREE INDUSTRIES</t>
  </si>
  <si>
    <t>HPML/20-21/033</t>
  </si>
  <si>
    <t>HPML/20-21/034</t>
  </si>
  <si>
    <t>HPML/20-21/032 DT.20.04.2020</t>
  </si>
  <si>
    <t>HPML/20-21/035</t>
  </si>
  <si>
    <t>HPML/20-21/036</t>
  </si>
  <si>
    <t>HPML/20-21/038</t>
  </si>
  <si>
    <t>HPML/20-21/037</t>
  </si>
  <si>
    <t>HPML/19-20/2587,2588 DT.12.03.2020</t>
  </si>
  <si>
    <t>HPML/20-21/039</t>
  </si>
  <si>
    <t>HPML/20-21/022,023 DT.20.04.2020</t>
  </si>
  <si>
    <t>HPML/20-21/040</t>
  </si>
  <si>
    <t>HPML/19-20/2587 DT.12.03.2020</t>
  </si>
  <si>
    <t>HPML/20-21/041</t>
  </si>
  <si>
    <t>HPML/20-21/024,025 DT.20.04.2020</t>
  </si>
  <si>
    <t>HPML/20-21/042</t>
  </si>
  <si>
    <t>HPML/20-21/034 DT.20.04.2020</t>
  </si>
  <si>
    <t>SRI SHAKUMBARI PACKAGING IND. (KEDAR)</t>
  </si>
  <si>
    <t>HPML/20-21/043</t>
  </si>
  <si>
    <t>HPML/20-21/041,40</t>
  </si>
  <si>
    <t>HPML/20-21/044</t>
  </si>
  <si>
    <t>HPML/20-21/038,39</t>
  </si>
  <si>
    <t>HPML/20-21/045</t>
  </si>
  <si>
    <t>HPML/20-21/050</t>
  </si>
  <si>
    <t>HPML/20-21/046</t>
  </si>
  <si>
    <t>HPML/19-20/2640</t>
  </si>
  <si>
    <t>HPML/20-21/047</t>
  </si>
  <si>
    <t>VINAYAKA IMPEX</t>
  </si>
  <si>
    <t>HPML/20-21/048</t>
  </si>
  <si>
    <t>HPML/20-21/049</t>
  </si>
  <si>
    <t>HPML/20-21/047.48.49</t>
  </si>
  <si>
    <t>HPML/19-20/2604.2603</t>
  </si>
  <si>
    <t>HPML/20-21/051</t>
  </si>
  <si>
    <t>HPML/19-20/2577</t>
  </si>
  <si>
    <t>HPML/20-21/052</t>
  </si>
  <si>
    <t>HPML/20-21/48,49,61</t>
  </si>
  <si>
    <t>HPML/20-21/053</t>
  </si>
  <si>
    <t>HPML/20-21/054</t>
  </si>
  <si>
    <t>HPML/20-21/055</t>
  </si>
  <si>
    <t>HPML/20-21/047.061</t>
  </si>
  <si>
    <t>HPML/20-21/056</t>
  </si>
  <si>
    <t>HPML/19-20/2603.2604</t>
  </si>
  <si>
    <t>HPML/-20-21/057</t>
  </si>
  <si>
    <t>HPML/20-21/053 DT.23.04.2020</t>
  </si>
  <si>
    <t>HPML/20-21/058</t>
  </si>
  <si>
    <t>HPML/20-21/058 DT.23.04.2020</t>
  </si>
  <si>
    <t>HPML/20-21/059</t>
  </si>
  <si>
    <t>HPML/20-21/051 DT.23.04.2020</t>
  </si>
  <si>
    <t>HPML/20-21/060</t>
  </si>
  <si>
    <t>HPML/19-20/2642 DT.20.03.2020</t>
  </si>
  <si>
    <t>HPML/20-21/061</t>
  </si>
  <si>
    <t>HPML/20-21/022 DT.20.04.2020</t>
  </si>
  <si>
    <t>HPML/20-21/062</t>
  </si>
  <si>
    <t>HPML/20-21/023 DT.20.04.2020</t>
  </si>
  <si>
    <t>HPML/20-21/063</t>
  </si>
  <si>
    <t>HPML/20-21/055 DT.23.04.2020</t>
  </si>
  <si>
    <t>HPML/20-21/064</t>
  </si>
  <si>
    <t>HPML/20-21/040,42</t>
  </si>
  <si>
    <t>HPML/20-21/065</t>
  </si>
  <si>
    <t>HPML/19-20/2642</t>
  </si>
  <si>
    <t>HPML/20-21/066</t>
  </si>
  <si>
    <t>HPML/20-21/067</t>
  </si>
  <si>
    <t>HPML/20-21/068</t>
  </si>
  <si>
    <t>HPML/20-21/068 DT.25.04.2020</t>
  </si>
  <si>
    <t>HPML/20-21/069</t>
  </si>
  <si>
    <t>HPML/20-21/063,64</t>
  </si>
  <si>
    <t>HPML/20-21/070</t>
  </si>
  <si>
    <t>HPML/20-21/071</t>
  </si>
  <si>
    <t>HPML/20-21/040,059 DT.21,23.04.2020</t>
  </si>
  <si>
    <t>HPML/20-21/072</t>
  </si>
  <si>
    <t>HPML/20-21/075 DT.26.04.2020</t>
  </si>
  <si>
    <t>HPML/20-21/073</t>
  </si>
  <si>
    <t>HPML/20-21/067 DT.25.04.2020</t>
  </si>
  <si>
    <t>HPML/20-21/074</t>
  </si>
  <si>
    <t>HPML/20-21/2604 DT.27.04.2020</t>
  </si>
  <si>
    <t>HPML/20-21/075</t>
  </si>
  <si>
    <t>HPML/20-21/035 DT.20.04.2020</t>
  </si>
  <si>
    <t>HPML/20-21/076</t>
  </si>
  <si>
    <t>HPML/19-20/2497</t>
  </si>
  <si>
    <t>HPML/20-21/077</t>
  </si>
  <si>
    <t>HPML/19-20/2578</t>
  </si>
  <si>
    <t>HPML/20-21/078</t>
  </si>
  <si>
    <t>HPML/20-21/059,60</t>
  </si>
  <si>
    <t>HPML/20-21/079</t>
  </si>
  <si>
    <t>HPML/20-21/080</t>
  </si>
  <si>
    <t>HPML/20-21/081</t>
  </si>
  <si>
    <t>HPML/20-21/071 DT.25.04.2020</t>
  </si>
  <si>
    <t>HPML/20-21/082</t>
  </si>
  <si>
    <t>HPML/20-21/063,064 DT.25.04.2020</t>
  </si>
  <si>
    <t>HPML/20-21/083</t>
  </si>
  <si>
    <t>HPML/20-21/084</t>
  </si>
  <si>
    <t>HPML/20-21/085</t>
  </si>
  <si>
    <t>HPML/19-20/2578 REV.</t>
  </si>
  <si>
    <t>HPML/20-21/086</t>
  </si>
  <si>
    <t>HPML/20-21/087</t>
  </si>
  <si>
    <t>HPML/20-21/088</t>
  </si>
  <si>
    <t>HPML/20-21/089</t>
  </si>
  <si>
    <t>HPML/20-21/090</t>
  </si>
  <si>
    <t>HPML/20-21/091</t>
  </si>
  <si>
    <t>HPML/20-21/092</t>
  </si>
  <si>
    <t>HPML/20-21/078 DT.28.04.2020</t>
  </si>
  <si>
    <t>HPML/20-21/093</t>
  </si>
  <si>
    <t>HPML/20-21/056 DT.23.04.2020</t>
  </si>
  <si>
    <t>HPML/20-21/094</t>
  </si>
  <si>
    <t>HPML/19-20/2579 DT.12.03.2020</t>
  </si>
  <si>
    <t>HPML/20-21/095</t>
  </si>
  <si>
    <t>HPML/20-21/096</t>
  </si>
  <si>
    <t>HPML/20-21/2641.2642</t>
  </si>
  <si>
    <t>HPML/20-21/097</t>
  </si>
  <si>
    <t>HPML/20-21/098</t>
  </si>
  <si>
    <t>HPML/20-21/099</t>
  </si>
  <si>
    <t>HPML/20-21/2639,2641</t>
  </si>
  <si>
    <t>HPML/20-21/100</t>
  </si>
  <si>
    <t>HPML/20-21/024,81</t>
  </si>
  <si>
    <t>HPML/20-21/101</t>
  </si>
  <si>
    <t>Net Realisable Value</t>
  </si>
  <si>
    <t>Qty (MT)</t>
  </si>
  <si>
    <t>Mrs. Baljit Kaur Manindersingh Saini</t>
  </si>
  <si>
    <t>Mrs. Kailash Kaur Jarnailsingh Saini</t>
  </si>
  <si>
    <t>(Includes Bonus)</t>
  </si>
  <si>
    <t>NOTE 10 : FIXED ASSET</t>
  </si>
  <si>
    <t>NOTES ON FINANCIAL STATEMENT FOR THE YEAR ENDING 31st MARCH 2016</t>
  </si>
  <si>
    <t>(Amount in Rs.)</t>
  </si>
  <si>
    <t>Sr. No.</t>
  </si>
  <si>
    <t>GROSS BLOCK</t>
  </si>
  <si>
    <t>DEPRECIATION</t>
  </si>
  <si>
    <t>NET BLOCK</t>
  </si>
  <si>
    <t>As On
01.04.2015</t>
  </si>
  <si>
    <t>Addition For the Year</t>
  </si>
  <si>
    <t>Deletion for the Year</t>
  </si>
  <si>
    <t>As On
31.03.2016</t>
  </si>
  <si>
    <t>Depreciation For the Year</t>
  </si>
  <si>
    <t>As On
31.03.2015</t>
  </si>
  <si>
    <t>I. TANGIBLE ASSETS</t>
  </si>
  <si>
    <t xml:space="preserve">Land </t>
  </si>
  <si>
    <t>Building (Other)</t>
  </si>
  <si>
    <t>Factory Building</t>
  </si>
  <si>
    <t>Furniture &amp; Fixtures</t>
  </si>
  <si>
    <t xml:space="preserve">Vehicle </t>
  </si>
  <si>
    <t>Sub Total (I)</t>
  </si>
  <si>
    <t>II. INTANGIBLE ASSETS</t>
  </si>
  <si>
    <t>Trademark</t>
  </si>
  <si>
    <t>Software</t>
  </si>
  <si>
    <t>Sub Total (II)</t>
  </si>
  <si>
    <t xml:space="preserve">GRAND TOTAL </t>
  </si>
  <si>
    <t>Previous Year</t>
  </si>
  <si>
    <t>OLD</t>
  </si>
  <si>
    <t>As On
01.04.2016</t>
  </si>
  <si>
    <t>As On
31.03.2017</t>
  </si>
  <si>
    <t>March 2016 deleted or Hide</t>
  </si>
  <si>
    <t>Life over no Dep as on 01.04.2016</t>
  </si>
  <si>
    <t>Negative Depreciation</t>
  </si>
  <si>
    <t>As On
01.04.2019</t>
  </si>
  <si>
    <t>Addition/Adjustment For the Year</t>
  </si>
  <si>
    <t>Revalution</t>
  </si>
  <si>
    <t>As On 31.03.2019</t>
  </si>
  <si>
    <t>Building (Factory)</t>
  </si>
  <si>
    <t>Normal Taxation</t>
  </si>
  <si>
    <t>U/s 115BAA</t>
  </si>
  <si>
    <t>19-20</t>
  </si>
  <si>
    <t>Saini Transport company</t>
  </si>
  <si>
    <t>Mrs. Kajal Sanjay Agarwal</t>
  </si>
  <si>
    <t>Mr. Kailash Kaur</t>
  </si>
  <si>
    <t>Mrs. Sanjamkaur Saini</t>
  </si>
  <si>
    <t>Mr. Prakashkaur Saini</t>
  </si>
  <si>
    <t>Gurmitsingh Gurdassingh (HUF)</t>
  </si>
  <si>
    <t>Karnail singh Gurudassingh (HUF)</t>
  </si>
  <si>
    <t>Mrs. Garima  Maheswari</t>
  </si>
  <si>
    <t xml:space="preserve"> II. CAPITAL WORK IN PROGRESS </t>
  </si>
  <si>
    <t xml:space="preserve"> W-I-P Building  </t>
  </si>
  <si>
    <t xml:space="preserve"> W-I-P Plant &amp; machinery </t>
  </si>
  <si>
    <t>(Note- Inventories have been hypothecated with banks against cash credit facility.)</t>
  </si>
  <si>
    <t>Note- A) Trade Receivables  have been hypothecated with banks against cash credit facility.</t>
  </si>
  <si>
    <t xml:space="preserve">B) Credit risk arising from trade receivables is managed in accordance with company's established policy with regard to credit limits, control and approval procedure.The company provides for expected credit losses on trade receivables based on simplified approach as per Ind AS 109 Under this Approach, expected credit losses are computed basis the probability of defaults over the lifetime of the asset. This allowance is measured taking into account credit profile of the customer,geographical spread,trade channels,past experience of defaults,estimates of future uncertainties etc. Further, managament believes that the unimpaird amounts that are past due by more than 180 days are still collectible in full, based on historical payment behavior and extensive analysis of customer credit risk. </t>
  </si>
  <si>
    <t xml:space="preserve">      - Building</t>
  </si>
  <si>
    <t xml:space="preserve">     - Machinery</t>
  </si>
  <si>
    <t xml:space="preserve">    - Vehicle </t>
  </si>
  <si>
    <t xml:space="preserve">    - Others</t>
  </si>
  <si>
    <t>Sri Shiv Sai Transport Co.</t>
  </si>
  <si>
    <t>Purchase</t>
  </si>
  <si>
    <t>C7 F</t>
  </si>
  <si>
    <t>Freight</t>
  </si>
  <si>
    <t>Bill Qty</t>
  </si>
  <si>
    <t>Value of Qty in Stock</t>
  </si>
  <si>
    <t>Penalty on Sales Tax</t>
  </si>
  <si>
    <t>Penalty on Service Tax</t>
  </si>
  <si>
    <t xml:space="preserve">15% THEREOF </t>
  </si>
  <si>
    <t>Deposit for OCC Import</t>
  </si>
  <si>
    <t>GST Total</t>
  </si>
  <si>
    <t>NOTE 2 : FIXED ASSET</t>
  </si>
  <si>
    <t>STATEMENT OF CHANGE IN EQUITY FOR THE YEAR ENDED ON 31ST MARCH, 2020</t>
  </si>
  <si>
    <t>Related Parties - Repayable on demand after 1st April, 2021</t>
  </si>
  <si>
    <t xml:space="preserve">     - FY 2019-20</t>
  </si>
  <si>
    <t xml:space="preserve">     - FY 2018-19 (FY 2017-18)</t>
  </si>
  <si>
    <t>Year ended</t>
  </si>
  <si>
    <t>A CASH FLOW FROM OPERATING ACTIVITIES</t>
  </si>
  <si>
    <t xml:space="preserve">PROFIT BEFORE INCOME TAX </t>
  </si>
  <si>
    <t>Adjustments for:</t>
  </si>
  <si>
    <t>Other comprehensive Income - Acturial Gain / (loss)</t>
  </si>
  <si>
    <t xml:space="preserve">Depreciation, amortisation and impairment </t>
  </si>
  <si>
    <t xml:space="preserve">Net (Gain)/ Loss on disposal of property, plant and equipment </t>
  </si>
  <si>
    <t xml:space="preserve">Operating profit before working capital changes </t>
  </si>
  <si>
    <t>Change in operating assets and liabilities:</t>
  </si>
  <si>
    <t xml:space="preserve">(Increase)/ Decrease in inventories </t>
  </si>
  <si>
    <t xml:space="preserve">(Increase)/ Decrease in trade receivables </t>
  </si>
  <si>
    <t>(Increase)/ Decrease in other financials assets</t>
  </si>
  <si>
    <t xml:space="preserve">(Increase)/ Decrease in other current assets </t>
  </si>
  <si>
    <t>(Increase)/ Decrease in other Bank Balance</t>
  </si>
  <si>
    <t xml:space="preserve">Increase/ (Decrease) in Borrowing </t>
  </si>
  <si>
    <t xml:space="preserve">Increase/ (Decrease) in trade payables </t>
  </si>
  <si>
    <t xml:space="preserve">Increase/ (Decrease) in other financial liabilities </t>
  </si>
  <si>
    <t xml:space="preserve">Increase/ (Decrease) in other current liabilities </t>
  </si>
  <si>
    <t xml:space="preserve">Increase/ (Decrease) in provisions </t>
  </si>
  <si>
    <t xml:space="preserve">(Increase)/ Decrease in other financial assets (Non Current) </t>
  </si>
  <si>
    <t xml:space="preserve">(Increase)/ Decrease in other non-current assets </t>
  </si>
  <si>
    <t xml:space="preserve">Changes in Working Capital </t>
  </si>
  <si>
    <t xml:space="preserve">Cash generated from Operations </t>
  </si>
  <si>
    <t xml:space="preserve">Income taxes paid (net of refunds) </t>
  </si>
  <si>
    <t xml:space="preserve">NET CASH INFLOW GENERATED FROM OPERATING ACTIVITIES </t>
  </si>
  <si>
    <t>B CASH FLOW FROM INVESTING ACTIVITIES</t>
  </si>
  <si>
    <t xml:space="preserve">Payment for property, plant and equipment </t>
  </si>
  <si>
    <t xml:space="preserve">Proceeds from sale of property, plant and equipment </t>
  </si>
  <si>
    <t xml:space="preserve">Payment for purchase of investments </t>
  </si>
  <si>
    <t xml:space="preserve">Payment for purchase of inter-corporate deposits placed </t>
  </si>
  <si>
    <t xml:space="preserve">(Given)/ Repayment of loans by related parties </t>
  </si>
  <si>
    <t xml:space="preserve">Interest received </t>
  </si>
  <si>
    <t xml:space="preserve">NET CASH (OUTFLOW) / INFLOW FROM INVESTING ACTIVITIES </t>
  </si>
  <si>
    <t>C CASH FLOW FROM FINANCING ACTIVITIES</t>
  </si>
  <si>
    <t xml:space="preserve">Proceeds from issuance of share capital (net of share issue expenses) </t>
  </si>
  <si>
    <t xml:space="preserve">Repayment of borrowings </t>
  </si>
  <si>
    <t xml:space="preserve">Interest paid </t>
  </si>
  <si>
    <t xml:space="preserve">Dividends paid to company's shareholders </t>
  </si>
  <si>
    <t xml:space="preserve">NET CASH (OUTFLOW) / INFLOW FROM FINANCING ACTIVITIES </t>
  </si>
  <si>
    <t xml:space="preserve">D NET INCREASE / (DECREASE) IN CASH &amp; CASH EQUIVALENTS (A+B+C) </t>
  </si>
  <si>
    <t>E CASH AND CASH EQUIVALENTS AT THE BEGINNING OF THE FINANCIAL YEAR.</t>
  </si>
  <si>
    <t>F CASH AND CASH EQUIVALENTS AT END OF THE YEAR.</t>
  </si>
  <si>
    <t>The cash flow statement has been prepared under the indirect method as set out in Indian Accounting Standard (Ind AS 7) statement of cash flows.</t>
  </si>
  <si>
    <t>CASH FLOW STATEMENT FOR THE YEAR ENDED 31ST MARCH, 2020</t>
  </si>
  <si>
    <t>CAPITAL W-I-P</t>
  </si>
  <si>
    <t>As On
01.04.2018</t>
  </si>
  <si>
    <t>II. Capital Work in Progress</t>
  </si>
  <si>
    <t>DR. B. P. TAORI</t>
  </si>
  <si>
    <t>Regd Office : Krishna Kunj, 1st Floor, Central Ave, Bhavsar Chowk, Gandhibagh, Nagpur, Maharashtra 440002</t>
  </si>
  <si>
    <t xml:space="preserve">CIN - U21010MH1995PLC085883 </t>
  </si>
  <si>
    <t>(Rs. In Lacs, unless otherwise stated.)</t>
  </si>
  <si>
    <t>Sr. no</t>
  </si>
  <si>
    <t>Quarter Ended</t>
  </si>
  <si>
    <t>Un Audited</t>
  </si>
  <si>
    <t>Audited</t>
  </si>
  <si>
    <t>I</t>
  </si>
  <si>
    <t>Income from Operations</t>
  </si>
  <si>
    <t>a)</t>
  </si>
  <si>
    <t>Net Sales/ Income from Operation</t>
  </si>
  <si>
    <t>b)</t>
  </si>
  <si>
    <t>Other  Income</t>
  </si>
  <si>
    <t>Total Income From Operation</t>
  </si>
  <si>
    <t>II</t>
  </si>
  <si>
    <t>Expenses</t>
  </si>
  <si>
    <t>Cost of Material Consumed</t>
  </si>
  <si>
    <t>Changes in Inventories of Finished Goods and Work In Progress</t>
  </si>
  <si>
    <t>c)</t>
  </si>
  <si>
    <t>d)</t>
  </si>
  <si>
    <t>Depreciation and Amortisation</t>
  </si>
  <si>
    <t>e)</t>
  </si>
  <si>
    <t>Finance Cost</t>
  </si>
  <si>
    <t>f)</t>
  </si>
  <si>
    <t>Total Expenses</t>
  </si>
  <si>
    <t>III</t>
  </si>
  <si>
    <t>Profit/(Loss) from Operations before Exceptional Items and Tax(I -II)</t>
  </si>
  <si>
    <t>IV</t>
  </si>
  <si>
    <t>Exceptional Items</t>
  </si>
  <si>
    <t>V</t>
  </si>
  <si>
    <t>Profit/(Loss) from Ordinary Activities before  Tax(III -IV)</t>
  </si>
  <si>
    <t>VI</t>
  </si>
  <si>
    <t>Tax Expenses</t>
  </si>
  <si>
    <t>Current Tax</t>
  </si>
  <si>
    <t>Deffered Tax</t>
  </si>
  <si>
    <t>VII</t>
  </si>
  <si>
    <t>Profit/(Loss) for the period from Continuing  Operations(V-VI)</t>
  </si>
  <si>
    <t>VIII</t>
  </si>
  <si>
    <t>Other Comphrehensive Income/(Expenses)-Net of Taxes</t>
  </si>
  <si>
    <t>Items that will not be reclassified to profit or loss</t>
  </si>
  <si>
    <t>Income tax relating to items that will not be reclassified to profit or loss</t>
  </si>
  <si>
    <t>Items that will be reclassified to profit or loss</t>
  </si>
  <si>
    <t>IX</t>
  </si>
  <si>
    <t>Total Comprehensive Income for the Period(VII+VIII)</t>
  </si>
  <si>
    <t>X</t>
  </si>
  <si>
    <t>Paid up Equity Share Capital(Face Value of Rs. 10 Each)</t>
  </si>
  <si>
    <t>XI</t>
  </si>
  <si>
    <t>Earning Per Shares</t>
  </si>
  <si>
    <t>Basic</t>
  </si>
  <si>
    <t>Diluted</t>
  </si>
  <si>
    <t xml:space="preserve">Notes: </t>
  </si>
  <si>
    <t>1)</t>
  </si>
  <si>
    <t>2)</t>
  </si>
  <si>
    <t>The above financial results are prepared in compliance with Indian Accounting Standards ("IND-AS") as notified under Section 133 of the Companies Act, 2013 ("The Act") [ Companies (India Accounting Standards) Rules, 2015] as amended accordingly these financial results have been prepared in accordance with the recognition and measurement principles laid down in the Ind AS 34 Interim Financial reporting" prescribed under Section 133 of the Companies Act, 2013 read with the relevant rules issued there under.</t>
  </si>
  <si>
    <t>3)</t>
  </si>
  <si>
    <t>The Company is into manufacturing of Kraft Paper which is considered as the only reportable segment. The Company's operations are based in India.</t>
  </si>
  <si>
    <t>4)</t>
  </si>
  <si>
    <t>The figures for corresponding periods have been regrouped, wherever applicable, to make them comparable.</t>
  </si>
  <si>
    <t>(i) Other  Assets</t>
  </si>
  <si>
    <t>Sub-total - Non Current assets</t>
  </si>
  <si>
    <t>(i)  Trade receivables</t>
  </si>
  <si>
    <t>(ii) Cash and cash equivalents</t>
  </si>
  <si>
    <t>(iii) Bank balances other than (ii) above</t>
  </si>
  <si>
    <t>(iv) Other Financial assets</t>
  </si>
  <si>
    <t>Sub-total -Current assets</t>
  </si>
  <si>
    <t>TOTAL ASSETS</t>
  </si>
  <si>
    <t>Shareholders Fund</t>
  </si>
  <si>
    <t>Equity Share capital</t>
  </si>
  <si>
    <t>Reserve &amp; Surplus</t>
  </si>
  <si>
    <t>Sub- total Shareholders fund</t>
  </si>
  <si>
    <t>Sub-total Non-current liabilities</t>
  </si>
  <si>
    <t>(ii)Trade payables</t>
  </si>
  <si>
    <t>(iii)Other financial liabilities</t>
  </si>
  <si>
    <t>(iv)Other current liabilities</t>
  </si>
  <si>
    <t>Sub-total Current liabilities</t>
  </si>
  <si>
    <t>TOTAL - EQUITY &amp; LIABILITIES</t>
  </si>
  <si>
    <t>Notes:</t>
  </si>
  <si>
    <t>2) Previous Year figures have been regrouped wherever necessary.</t>
  </si>
  <si>
    <t>Period Ended</t>
  </si>
  <si>
    <t>Year Ended 31/03/2020</t>
  </si>
  <si>
    <t>Year Ended 31/03/2019</t>
  </si>
  <si>
    <t>Audited financial results for the Quarter and year ended 31/03/2020</t>
  </si>
  <si>
    <t>Statement Of Assets &amp; Liabilities as on 31st March 2020</t>
  </si>
  <si>
    <t>Bonus, Leave Encashment Payable</t>
  </si>
  <si>
    <t>(ii) Provisions</t>
  </si>
  <si>
    <t>NOTE 14 : Non Current - Provisions</t>
  </si>
  <si>
    <t xml:space="preserve">NOTE 16 : SHORT TERM BORROWINGS </t>
  </si>
  <si>
    <t>NOTE 17: TRADE PAYABLES</t>
  </si>
  <si>
    <t>NOTE 18: OTHER FINANCIAL LIABILITIES : CURRENT</t>
  </si>
  <si>
    <t>NOTE 19 : OTHER CURRENT LIABILITIES</t>
  </si>
  <si>
    <t>NOTE 21 : REVENUE FROM OPERATIONS</t>
  </si>
  <si>
    <t>NOTE 22 : OTHER INCOME</t>
  </si>
  <si>
    <t>NOTE 23 : COST OF MATERIAL CONSUMED</t>
  </si>
  <si>
    <t>NOTE 24 :CHANGES IN INVENTORIES OF FINISHED GOODS</t>
  </si>
  <si>
    <t>NOTE 25 :EMPLOYEE BENEFIT EXPENSES</t>
  </si>
  <si>
    <t>NOTE 26 :FINANCE COSTS</t>
  </si>
  <si>
    <t>NOTE 27 :OTHER EXPENSES</t>
  </si>
  <si>
    <t>NOTE 28 : OTHER COMPREHENSIVE INCOME</t>
  </si>
  <si>
    <t>NOTE 29 : EARNING PER SHARE</t>
  </si>
  <si>
    <t>NOTE 33 :</t>
  </si>
  <si>
    <t>Increase/ (Decrease) in other Non Current Provisions</t>
  </si>
  <si>
    <t>FY 2018-19</t>
  </si>
  <si>
    <t>FY 2017-18</t>
  </si>
  <si>
    <t>Non Current Provisions</t>
  </si>
  <si>
    <t>Current Provisions</t>
  </si>
  <si>
    <t>Trade Payable</t>
  </si>
  <si>
    <t>Borrowing</t>
  </si>
  <si>
    <t>Other Financial Assets</t>
  </si>
  <si>
    <t>Other Financial Liabilities</t>
  </si>
  <si>
    <t>Non Current Financial Assets</t>
  </si>
  <si>
    <t>Non Current Assets</t>
  </si>
  <si>
    <t>SUHANI ENTERPRISES</t>
  </si>
  <si>
    <t xml:space="preserve"> 1) Basic EPS</t>
  </si>
  <si>
    <t xml:space="preserve"> 1) Diluted EPS</t>
  </si>
  <si>
    <t>Details  of  Carry Forward of Minimum Altrernate Tax   :-</t>
  </si>
  <si>
    <t>Profit on Sales of Car</t>
  </si>
  <si>
    <t>Raw Material - Waste Paper</t>
  </si>
  <si>
    <t>Capital Goods</t>
  </si>
  <si>
    <t>Stores &amp; Spare Parts</t>
  </si>
  <si>
    <t>VAT Tax Expenses</t>
  </si>
  <si>
    <t>Payable to Investor education &amp; Protection Fund</t>
  </si>
  <si>
    <t>Payable to Investor Education &amp; Protection Fund</t>
  </si>
  <si>
    <t>Principle</t>
  </si>
  <si>
    <t>Interest</t>
  </si>
  <si>
    <t>Other Operating Revenue</t>
  </si>
  <si>
    <t xml:space="preserve">     - Trading Sale</t>
  </si>
  <si>
    <t xml:space="preserve">     - PSI Subsidy</t>
  </si>
  <si>
    <t>Sale of Scrap</t>
  </si>
  <si>
    <t>Trading Purchase</t>
  </si>
  <si>
    <t>g)</t>
  </si>
  <si>
    <t>Provision</t>
  </si>
  <si>
    <t>Income Tax Provision</t>
  </si>
  <si>
    <t>Other Tax Assets</t>
  </si>
  <si>
    <t>Paid during the year</t>
  </si>
  <si>
    <t>MAT adjustment</t>
  </si>
  <si>
    <t>5)</t>
  </si>
  <si>
    <t>1) The Audited Financial Results were taken on record by the Board of Directors in their Meeting held on July 3, 2020.</t>
  </si>
  <si>
    <t>The above results were reviewed by the Audit Committee and then approved by the Board at their respective meeting held on 03.07.2020.</t>
  </si>
  <si>
    <t>CASH FLOW STATEMENT FOR THE YEAR ENDED 31ST MARCH, 2020 &amp; YEAR ENDED 31ST MARCH, 2019</t>
  </si>
  <si>
    <t>Due to COVID-19 Pandemic, the plant was closed from 22nd March 2020, however the working resumed from 21st April 2020. There is no material impact on Fiancials of the company.</t>
  </si>
  <si>
    <t>JARNAIL SINGH SAINI - CHIEF FINANCIAL OFFICER &amp; EXECUTIVE DIRECTOR</t>
  </si>
  <si>
    <t>OMPRAKASH RATHI - EXECUTIVE DIRECTOR</t>
  </si>
  <si>
    <t>Date: 03/07/2020</t>
  </si>
  <si>
    <t>NOTE 20 : PROVISIONS</t>
  </si>
  <si>
    <t>As At</t>
  </si>
  <si>
    <t xml:space="preserve"> As At</t>
  </si>
  <si>
    <t>March 31, 2020 (₹)</t>
  </si>
  <si>
    <t>March 31, 2019 (₹)</t>
  </si>
  <si>
    <t>Note No.</t>
  </si>
  <si>
    <t>UDIN : 20144005AAAAAL9647</t>
  </si>
  <si>
    <t>Year Ended</t>
  </si>
  <si>
    <t>ii) The amount of interest credit by the buyer in terms of section 16, of the MSMED Act,2006 along with the amount ot the payment made to the supplier beyond the appointed day during each accounting year.</t>
  </si>
  <si>
    <t>iii) The amount of interest due and payble for the period of delay in making payment (which have been paid but beyond the appointed day during the year) but without adding the interest specified under MSMED Act.</t>
  </si>
  <si>
    <t>iv) The amount of interest accrued and remaining unpaid at the end of each accounting year.</t>
  </si>
  <si>
    <t>v) The amount of further interest remaining due and payable even in the succeeding years until such date when the interest dues as above are actually paid to the small enterprise for the purpose of disallowance as a deductible expenditure under section 23 of MSMED Act,2006.</t>
  </si>
  <si>
    <t>Information as required to be furnished as per section 22 of the Micro, Small and Medium Enterprises Development Act, 2006 (MSMED Act) for the year ended March 31,2020 is given below. This infromation has been determind to the extent such parties have been identified on the basis of information available with the company</t>
  </si>
  <si>
    <t>Total outstanding due to micro, small and medium enterprise</t>
  </si>
  <si>
    <t>Total outstanding dues other than micro enterprises &amp; small enterprises</t>
  </si>
  <si>
    <t>The Principal amount and interest due there on remaining unpaid to suppliers under MSMED Act:</t>
  </si>
  <si>
    <t>Kaygaon Paper Mills Private Limited</t>
  </si>
  <si>
    <t>PSI Subsidy for FY 2017-18 is recognised in the books after the receipt of provisional sanction from office of District Industries Centre.</t>
  </si>
  <si>
    <t>The company has obtained its office premises for its business operations under operating lease or leave and license agreements. These are generally cancellable under leave and licence, or renewed longer for other lease and are renewable by mutual consent on mutually agreeable terms. Lease payments are recognised in the Statement of Profit and Loss under "Rent" in Note 27.</t>
  </si>
  <si>
    <t>A. CIF VALUE OF IMPORTS</t>
  </si>
  <si>
    <t>B. STOCKS</t>
  </si>
  <si>
    <t>Waste Paper</t>
  </si>
  <si>
    <t>Chemicals</t>
  </si>
  <si>
    <t>RAW MATERIAL</t>
  </si>
  <si>
    <t>Kraft Paper</t>
  </si>
  <si>
    <t>C. FINISHED GOODS</t>
  </si>
  <si>
    <t>D. VALUE OF RAW MATERIAL, STORES &amp; SPARES CONSUMPTION:</t>
  </si>
  <si>
    <t>Raw Material</t>
  </si>
  <si>
    <t>Value</t>
  </si>
  <si>
    <t>Percentage of Total Consumption</t>
  </si>
  <si>
    <t>Imported</t>
  </si>
  <si>
    <t>Indigenous</t>
  </si>
  <si>
    <t>E. SALES</t>
  </si>
  <si>
    <t>Manufacturing Sales (Net of Taxes)</t>
  </si>
  <si>
    <t>NOTE 30 : SUPPLEMENTARY INFORMATION</t>
  </si>
  <si>
    <t>NOTE 31 : AUDITORS REMUNERATION</t>
  </si>
  <si>
    <t>NOTE 32 : Disclosure required by INDAS 19-Employee Benefits</t>
  </si>
  <si>
    <t>NOTE 34 :</t>
  </si>
  <si>
    <t>NOTE 35 :  RELATED PARTIES DISCLOSURE</t>
  </si>
  <si>
    <t>NOTE 36 :CONTINGENT LIABILITIES</t>
  </si>
  <si>
    <t>NOTE 40 :PSI Subsidy</t>
  </si>
  <si>
    <t>NOTE 41 :</t>
  </si>
  <si>
    <t>NOTE 43 :</t>
  </si>
  <si>
    <t>1 to 43</t>
  </si>
  <si>
    <t>In Past, the Company had received order from the office of the Commissioner of Central Excise, Custom &amp; Service Tax, Nagpur -II demanding Excise Duty of Rs. 25,88,898/- including penalty. The Company has filed an appeal with the Commissioner (Appeals) under section 35 of the Act against the said order. The Company has paid the basic Demand under protest amounting to 12,94,449/- to save interest and penalty on suomoto basis. Based on the legal advice, the Company had not made any provisions against the said demand. In absence of any progress on the said matter, during the year, the company has written of the said amount paid in FY 2018-19.</t>
  </si>
  <si>
    <t>Weighted average number of Equity shares outstanding (Face Value of ₹ 10 per Eq. Share)</t>
  </si>
  <si>
    <t>31st March, 2020 (₹)</t>
  </si>
  <si>
    <t>31st March, 2019 (₹)</t>
  </si>
  <si>
    <t>(Term Loan is secured by way of Hypothecation of all movable created out of bank finance as well on Land, factory building,Plant and Machiney,Electrical fittings and Misc. assets with the personal guarantees of the directors. First term loan of Rs 5.50 crores is repayable in 60 monthly installment amounting to Rs 9.16 lacs from F.Y.2015-2016, second term loan of Rs 1.50 cr is repayable in 72 monthly installments amounting to Rs 2 lacs  for 71 months and 8 lacs for last one month and third term loan of Rs 2 cr is repayable in 72 monthly installments amounting to Rs 2.90 lacs for 11 month, 2.75 lacs for 60 month and last installment of 3 lacs  from FY 2016-2017 onwards. )</t>
  </si>
  <si>
    <t>1) Loan of Rs, 7.90 Lacs payable in 24 Equated monthly installments of Rs. 37920/- per month against hypothecation of Forklift.</t>
  </si>
  <si>
    <t>(a) Breakup of Deffered Tax Liability at the end of the year.</t>
  </si>
  <si>
    <t>Nature of Timing Difference</t>
  </si>
  <si>
    <t>Property Plant &amp; Equipment</t>
  </si>
  <si>
    <t>Total  Deferred Tax liability</t>
  </si>
  <si>
    <t>NOTE 15 : DEFERRED TAX LIABILITIES / (ASSETS)</t>
  </si>
  <si>
    <t>(a) Breakup of Deffered Tax Assets at the end of the year.</t>
  </si>
  <si>
    <t>Dissallowances u/s 43B and others</t>
  </si>
  <si>
    <t>Unpaid Dividend for FY 2010-11, is tranferred to Investor Education and Protection Fund, on 30/06/2020.</t>
  </si>
  <si>
    <t>Current Provision for Gratuity (Refer Note 32)</t>
  </si>
  <si>
    <t>Employee Benefits</t>
  </si>
  <si>
    <t>(Secured by way of hypothecation of entire stock of the unit at its godowns or at some other places including goods in transit ,outstanding moneys,book debts, receivable, both present and future including personal guarantee of all the Directors &amp; the Promoters of the Company. These borrowings are repayable on demand.)</t>
  </si>
  <si>
    <t xml:space="preserve">      - Manufacturing </t>
  </si>
  <si>
    <t>Fixed deposits are lien marked for total facility against the said fixed deposit.</t>
  </si>
  <si>
    <t>35,00,000 Equity Shares of Rs.10/- each (35,00,000 Equity Shares of Rs.10/- each)</t>
  </si>
  <si>
    <t>26,92,265 Equity Shares of Rs.10/- each fully paid up (26,92,265 Equity Shares of Rs.10/- each fully paid up)</t>
  </si>
  <si>
    <t>Interest as per section 16 of MSMED Act</t>
  </si>
  <si>
    <t>NOTE 42 : Unpaid Dividend</t>
  </si>
  <si>
    <t>F CASH AND CASH EQUIVALENTS AT END OF THE YEAR.(Refer Note No.7)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</si>
</sst>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6">
    <numFmt numFmtId="41" formatCode="_ * #,##0_ ;_ * \-#,##0_ ;_ * &quot;-&quot;_ ;_ @_ "/>
    <numFmt numFmtId="43" formatCode="_ * #,##0.00_ ;_ * \-#,##0.00_ ;_ * &quot;-&quot;??_ ;_ @_ "/>
    <numFmt numFmtId="164" formatCode="&quot;$&quot;#,##0_);\(&quot;$&quot;#,##0\)"/>
    <numFmt numFmtId="165" formatCode="&quot;$&quot;#,##0.00_);[Red]\(&quot;$&quot;#,##0.00\)"/>
    <numFmt numFmtId="166" formatCode="_(* #,##0_);_(* \(#,##0\);_(* &quot;-&quot;_);_(@_)"/>
    <numFmt numFmtId="167" formatCode="_(&quot;$&quot;* #,##0.00_);_(&quot;$&quot;* \(#,##0.00\);_(&quot;$&quot;* &quot;-&quot;??_);_(@_)"/>
    <numFmt numFmtId="168" formatCode="_(* #,##0.00_);_(* \(#,##0.00\);_(* &quot;-&quot;??_);_(@_)"/>
    <numFmt numFmtId="169" formatCode="&quot;&quot;0.00"/>
    <numFmt numFmtId="170" formatCode="&quot;&quot;0"/>
    <numFmt numFmtId="171" formatCode="_ * #,##0_ ;_ * \-#,##0_ ;_ * &quot;-&quot;??_ ;_ @_ "/>
    <numFmt numFmtId="172" formatCode="0.00;[Red]0.00"/>
    <numFmt numFmtId="173" formatCode="[$-409]d\-mmm\-yy;@"/>
    <numFmt numFmtId="174" formatCode="_(* #,##0_);_(* \(#,##0\);_(* &quot;-&quot;??_);_(@_)"/>
    <numFmt numFmtId="175" formatCode="0.0000000000;[Red]0.0000000000"/>
    <numFmt numFmtId="176" formatCode="_ * #,##0.0_ ;_ * \-#,##0.0_ ;_ * &quot;-&quot;??_ ;_ @_ "/>
    <numFmt numFmtId="177" formatCode="_(* #,##0.000_);_(* \(#,##0.000\);_(* &quot;-&quot;??_);_(@_)"/>
    <numFmt numFmtId="178" formatCode="0.0"/>
    <numFmt numFmtId="179" formatCode="0_);\(0\)"/>
    <numFmt numFmtId="180" formatCode="_-* #,##0.00_-;\-* #,##0.00_-;_-* &quot;-&quot;??_-;_-@_-"/>
    <numFmt numFmtId="181" formatCode="_-* #,##0_-;\-* #,##0_-;_-* &quot;-&quot;??_-;_-@_-"/>
    <numFmt numFmtId="182" formatCode="&quot;WORKINGS ON DEFERRED TAXATION AS ON &quot;[$-409]d\-mmm\-yy;@"/>
    <numFmt numFmtId="183" formatCode="0.0%"/>
    <numFmt numFmtId="184" formatCode="&quot;Deferred Tax Liability as on &quot;[$-409]d\-mmm\-yy;@"/>
    <numFmt numFmtId="185" formatCode="dd/mmm/yyyy"/>
    <numFmt numFmtId="186" formatCode="&quot;&quot;0.00&quot; kg&quot;"/>
    <numFmt numFmtId="187" formatCode="&quot;£&quot;#,##0.00;\-&quot;£&quot;#,##0.00"/>
    <numFmt numFmtId="188" formatCode="&quot;£&quot;#,##0.00;[Red]\-&quot;£&quot;#,##0.00"/>
    <numFmt numFmtId="189" formatCode="_-* #,##0_-;\-* #,##0_-;_-* &quot;-&quot;_-;_-@_-"/>
    <numFmt numFmtId="190" formatCode="m\o\n\th\ d\,\ yyyy"/>
    <numFmt numFmtId="191" formatCode="#.00"/>
    <numFmt numFmtId="192" formatCode="#."/>
    <numFmt numFmtId="193" formatCode="0.00_)"/>
    <numFmt numFmtId="194" formatCode="0.0000000"/>
    <numFmt numFmtId="195" formatCode="_([$€]* #,##0.00_);_([$€]* \(#,##0.00\);_([$€]* &quot;-&quot;??_);_(@_)"/>
    <numFmt numFmtId="196" formatCode="dd\-mm\-yy"/>
    <numFmt numFmtId="197" formatCode="#,##0\ &quot;DM&quot;;[Red]\-#,##0\ &quot;DM&quot;"/>
    <numFmt numFmtId="198" formatCode="#,##0.00\ &quot;DM&quot;;[Red]\-#,##0.00\ &quot;DM&quot;"/>
    <numFmt numFmtId="199" formatCode="#,##0,;[Red]\(#,##0,\)"/>
    <numFmt numFmtId="200" formatCode="0.0%;\ \(0.0%\)"/>
    <numFmt numFmtId="201" formatCode="&quot;               &quot;@"/>
    <numFmt numFmtId="202" formatCode="&quot;                    &quot;@"/>
    <numFmt numFmtId="203" formatCode="#,##0,_);[Red]\(#,##0,\)"/>
    <numFmt numFmtId="204" formatCode="&quot;$&quot;#,##0.00;[Red]\-&quot;$&quot;#,##0.00"/>
    <numFmt numFmtId="205" formatCode="[$-409]d\-mmm\-yyyy;@"/>
    <numFmt numFmtId="206" formatCode="#,##0\ &quot;F&quot;;[Red]\-#,##0\ &quot;F&quot;"/>
    <numFmt numFmtId="207" formatCode="#,##0.00\ &quot;F&quot;;[Red]\-#,##0.00\ &quot;F&quot;"/>
    <numFmt numFmtId="208" formatCode="0%;\(0%\)"/>
    <numFmt numFmtId="209" formatCode="mm/dd/yy"/>
    <numFmt numFmtId="210" formatCode="_(* #,##0.0000_);_(* \(#,##0.0000\);_(* &quot;-&quot;??_);_(@_)"/>
    <numFmt numFmtId="211" formatCode="#,"/>
    <numFmt numFmtId="212" formatCode="_-* #,##0\ _D_M_-;\-* #,##0\ _D_M_-;_-* &quot;-&quot;\ _D_M_-;_-@_-"/>
    <numFmt numFmtId="213" formatCode="_-* #,##0_-;_-* #,##0\-;_-* &quot;-&quot;_-;_-@_-"/>
    <numFmt numFmtId="214" formatCode="0.00%;[Red]\(0.00%\)"/>
    <numFmt numFmtId="215" formatCode="#,##0.00;[Red]\(#,##0.00\)"/>
    <numFmt numFmtId="216" formatCode="dd\-mmm\-yy_)"/>
    <numFmt numFmtId="217" formatCode="#,##0.0;[Red]\(#,##0.0\)"/>
    <numFmt numFmtId="218" formatCode="_(* #,##0.0_);_(* \(#,##0.0\);_(* &quot;-&quot;?_);@_)"/>
    <numFmt numFmtId="219" formatCode="General_)"/>
    <numFmt numFmtId="220" formatCode="m/d"/>
    <numFmt numFmtId="221" formatCode="_ * #,##0.00_)&quot;£&quot;_ ;_ * \(#,##0.00\)&quot;£&quot;_ ;_ * &quot;-&quot;??_)&quot;£&quot;_ ;_ @_ "/>
    <numFmt numFmtId="222" formatCode="_ * #,##0.00_)_£_ ;_ * \(#,##0.00\)_£_ ;_ * &quot;-&quot;??_)_£_ ;_ @_ "/>
    <numFmt numFmtId="223" formatCode="#,##0_%_);\(#,##0\)_%;#,##0_%_);@_%_)"/>
    <numFmt numFmtId="224" formatCode="&quot;$&quot;#,##0_%_);\(&quot;$&quot;#,##0\)_%;&quot;$&quot;#,##0_%_);@_%_)"/>
    <numFmt numFmtId="225" formatCode="_-* #,##0\ _F_-;\-* #,##0\ _F_-;_-* &quot;-&quot;\ _F_-;_-@_-"/>
    <numFmt numFmtId="226" formatCode="#,##0.00\ &quot;F&quot;;\-#,##0.00\ &quot;F&quot;"/>
    <numFmt numFmtId="227" formatCode="_(* #,##0.00_);_(* \(#,##0.00\);_(* &quot;-&quot;_);_(@_)"/>
  </numFmts>
  <fonts count="181">
    <font>
      <sz val="11"/>
      <color theme="1"/>
      <name val="Calibri"/>
      <family val="2"/>
      <scheme val="minor"/>
    </font>
    <font>
      <sz val="11"/>
      <color theme="1"/>
      <name val="Calibri"/>
      <family val="2"/>
      <scheme val="minor"/>
    </font>
    <font>
      <b/>
      <sz val="11"/>
      <color theme="1"/>
      <name val="Calibri"/>
      <family val="2"/>
      <scheme val="minor"/>
    </font>
    <font>
      <b/>
      <sz val="12"/>
      <color theme="1"/>
      <name val="Arial"/>
      <family val="2"/>
    </font>
    <font>
      <sz val="10"/>
      <color theme="1"/>
      <name val="Arial"/>
      <family val="2"/>
    </font>
    <font>
      <b/>
      <sz val="9"/>
      <color theme="1"/>
      <name val="Arial"/>
      <family val="2"/>
    </font>
    <font>
      <sz val="9"/>
      <color theme="1"/>
      <name val="Arial"/>
      <family val="2"/>
    </font>
    <font>
      <sz val="11"/>
      <name val="Times New Roman"/>
      <family val="1"/>
    </font>
    <font>
      <b/>
      <sz val="11"/>
      <name val="Bookman Old Style"/>
      <family val="1"/>
    </font>
    <font>
      <sz val="11"/>
      <name val="Bookman Old Style"/>
      <family val="1"/>
    </font>
    <font>
      <sz val="11"/>
      <color theme="1"/>
      <name val="Bookman Old Style"/>
      <family val="1"/>
    </font>
    <font>
      <sz val="10"/>
      <name val="Arial"/>
      <family val="2"/>
    </font>
    <font>
      <sz val="16"/>
      <color theme="1"/>
      <name val="Calibri Light"/>
      <family val="1"/>
      <scheme val="major"/>
    </font>
    <font>
      <sz val="11"/>
      <color indexed="8"/>
      <name val="Bookman Old Style"/>
      <family val="1"/>
    </font>
    <font>
      <sz val="12"/>
      <name val="Calibri"/>
      <family val="2"/>
      <scheme val="minor"/>
    </font>
    <font>
      <b/>
      <sz val="12"/>
      <name val="Calibri"/>
      <family val="2"/>
      <scheme val="minor"/>
    </font>
    <font>
      <b/>
      <u/>
      <sz val="12"/>
      <name val="Calibri"/>
      <family val="2"/>
      <scheme val="minor"/>
    </font>
    <font>
      <sz val="10"/>
      <name val="Bookman Old Style"/>
      <family val="1"/>
    </font>
    <font>
      <sz val="12"/>
      <color theme="1"/>
      <name val="Calibri"/>
      <family val="2"/>
      <scheme val="minor"/>
    </font>
    <font>
      <sz val="11"/>
      <color theme="1"/>
      <name val="Book Antiqua"/>
      <family val="2"/>
    </font>
    <font>
      <b/>
      <sz val="14"/>
      <color theme="1"/>
      <name val="Book Antiqua"/>
      <family val="1"/>
    </font>
    <font>
      <b/>
      <sz val="12"/>
      <color theme="1"/>
      <name val="Book Antiqua"/>
      <family val="1"/>
    </font>
    <font>
      <b/>
      <sz val="12"/>
      <color rgb="FFFF0000"/>
      <name val="Book Antiqua"/>
      <family val="1"/>
    </font>
    <font>
      <b/>
      <sz val="11"/>
      <color theme="1"/>
      <name val="Book Antiqua"/>
      <family val="1"/>
    </font>
    <font>
      <sz val="10"/>
      <color theme="1"/>
      <name val="Book Antiqua"/>
      <family val="2"/>
    </font>
    <font>
      <sz val="11"/>
      <color theme="1"/>
      <name val="Book Antiqua"/>
      <family val="1"/>
    </font>
    <font>
      <b/>
      <sz val="10"/>
      <color theme="1"/>
      <name val="Book Antiqua"/>
      <family val="2"/>
    </font>
    <font>
      <b/>
      <sz val="11"/>
      <color theme="1"/>
      <name val="Book Antiqua"/>
      <family val="2"/>
    </font>
    <font>
      <sz val="10"/>
      <color theme="1"/>
      <name val="Book Antiqua"/>
      <family val="1"/>
    </font>
    <font>
      <sz val="11"/>
      <name val="Book Antiqua"/>
      <family val="1"/>
    </font>
    <font>
      <sz val="11"/>
      <color rgb="FFFF0000"/>
      <name val="Book Antiqua"/>
      <family val="1"/>
    </font>
    <font>
      <sz val="10"/>
      <color rgb="FFFF0000"/>
      <name val="Book Antiqua"/>
      <family val="2"/>
    </font>
    <font>
      <b/>
      <sz val="10"/>
      <color theme="1"/>
      <name val="Book Antiqua"/>
      <family val="1"/>
    </font>
    <font>
      <b/>
      <sz val="10"/>
      <color theme="0"/>
      <name val="Book Antiqua"/>
      <family val="1"/>
    </font>
    <font>
      <b/>
      <sz val="12"/>
      <color theme="1"/>
      <name val="Book Antiqua"/>
      <family val="2"/>
    </font>
    <font>
      <sz val="10"/>
      <color theme="0"/>
      <name val="Book Antiqua"/>
      <family val="1"/>
    </font>
    <font>
      <u/>
      <sz val="11"/>
      <color theme="10"/>
      <name val="Book Antiqua"/>
      <family val="2"/>
    </font>
    <font>
      <b/>
      <sz val="11"/>
      <name val="Book Antiqua"/>
      <family val="1"/>
    </font>
    <font>
      <sz val="11"/>
      <color theme="0"/>
      <name val="Book Antiqua"/>
      <family val="2"/>
    </font>
    <font>
      <sz val="10"/>
      <color rgb="FF333333"/>
      <name val="Verdana"/>
      <family val="2"/>
    </font>
    <font>
      <sz val="11"/>
      <name val="Book Antiqua"/>
      <family val="2"/>
    </font>
    <font>
      <sz val="10"/>
      <color theme="0"/>
      <name val="Book Antiqua"/>
      <family val="2"/>
    </font>
    <font>
      <b/>
      <sz val="11"/>
      <color theme="0"/>
      <name val="Book Antiqua"/>
      <family val="2"/>
    </font>
    <font>
      <b/>
      <sz val="9"/>
      <color indexed="81"/>
      <name val="Tahoma"/>
      <family val="2"/>
    </font>
    <font>
      <sz val="9"/>
      <color indexed="81"/>
      <name val="Tahoma"/>
      <family val="2"/>
    </font>
    <font>
      <b/>
      <u/>
      <sz val="11"/>
      <color theme="1"/>
      <name val="Calibri"/>
      <family val="2"/>
      <scheme val="minor"/>
    </font>
    <font>
      <sz val="11"/>
      <color indexed="8"/>
      <name val="Calibri"/>
      <family val="2"/>
      <scheme val="minor"/>
    </font>
    <font>
      <b/>
      <sz val="11"/>
      <color indexed="8"/>
      <name val="Calibri"/>
      <family val="2"/>
      <scheme val="minor"/>
    </font>
    <font>
      <b/>
      <sz val="12"/>
      <name val="Times New Roman"/>
      <family val="1"/>
    </font>
    <font>
      <sz val="12"/>
      <name val="Times New Roman"/>
      <family val="1"/>
    </font>
    <font>
      <i/>
      <sz val="12"/>
      <name val="Times New Roman"/>
      <family val="1"/>
    </font>
    <font>
      <sz val="12"/>
      <color indexed="8"/>
      <name val="Times New Roman"/>
      <family val="1"/>
    </font>
    <font>
      <sz val="12"/>
      <color rgb="FFFF0000"/>
      <name val="Times New Roman"/>
      <family val="1"/>
    </font>
    <font>
      <b/>
      <u/>
      <sz val="12"/>
      <name val="Times New Roman"/>
      <family val="1"/>
    </font>
    <font>
      <sz val="10"/>
      <name val="Times New Roman"/>
      <family val="1"/>
    </font>
    <font>
      <b/>
      <sz val="10"/>
      <name val="Times New Roman"/>
      <family val="1"/>
    </font>
    <font>
      <b/>
      <sz val="11"/>
      <name val="Times New Roman"/>
      <family val="1"/>
    </font>
    <font>
      <b/>
      <sz val="11"/>
      <color indexed="12"/>
      <name val="Times New Roman"/>
      <family val="1"/>
    </font>
    <font>
      <sz val="11"/>
      <color indexed="0"/>
      <name val="Times New Roman"/>
      <family val="1"/>
    </font>
    <font>
      <b/>
      <sz val="11"/>
      <color indexed="0"/>
      <name val="Times New Roman"/>
      <family val="1"/>
    </font>
    <font>
      <b/>
      <sz val="11"/>
      <color indexed="8"/>
      <name val="Times New Roman"/>
      <family val="1"/>
    </font>
    <font>
      <b/>
      <sz val="12"/>
      <name val="Bookman Old Style"/>
      <family val="1"/>
    </font>
    <font>
      <b/>
      <sz val="12"/>
      <color indexed="12"/>
      <name val="Bookman Old Style"/>
      <family val="1"/>
    </font>
    <font>
      <sz val="12"/>
      <color indexed="12"/>
      <name val="Bookman Old Style"/>
      <family val="1"/>
    </font>
    <font>
      <sz val="12"/>
      <name val="Bookman Old Style"/>
      <family val="1"/>
    </font>
    <font>
      <sz val="11"/>
      <color indexed="8"/>
      <name val="Calibri"/>
      <family val="2"/>
    </font>
    <font>
      <b/>
      <sz val="11"/>
      <color rgb="FFFF0000"/>
      <name val="Book Antiqua"/>
      <family val="1"/>
    </font>
    <font>
      <b/>
      <sz val="10"/>
      <name val="Calibri Light"/>
      <family val="1"/>
      <scheme val="major"/>
    </font>
    <font>
      <b/>
      <u/>
      <sz val="10"/>
      <name val="Calibri Light"/>
      <family val="1"/>
      <scheme val="major"/>
    </font>
    <font>
      <sz val="10"/>
      <name val="Calibri Light"/>
      <family val="1"/>
      <scheme val="major"/>
    </font>
    <font>
      <b/>
      <sz val="10"/>
      <color indexed="12"/>
      <name val="Calibri Light"/>
      <family val="1"/>
      <scheme val="major"/>
    </font>
    <font>
      <sz val="10"/>
      <color indexed="12"/>
      <name val="Calibri Light"/>
      <family val="1"/>
      <scheme val="major"/>
    </font>
    <font>
      <sz val="11"/>
      <name val="Calibri Light"/>
      <family val="1"/>
      <scheme val="major"/>
    </font>
    <font>
      <b/>
      <sz val="15"/>
      <color rgb="FFFF0000"/>
      <name val="Calibri Light"/>
      <family val="1"/>
      <scheme val="major"/>
    </font>
    <font>
      <b/>
      <sz val="11"/>
      <name val="Calibri Light"/>
      <family val="1"/>
      <scheme val="major"/>
    </font>
    <font>
      <b/>
      <sz val="11"/>
      <color theme="1"/>
      <name val="Calibri Light"/>
      <family val="1"/>
      <scheme val="major"/>
    </font>
    <font>
      <i/>
      <sz val="11"/>
      <name val="Calibri Light"/>
      <family val="1"/>
      <scheme val="major"/>
    </font>
    <font>
      <b/>
      <sz val="12"/>
      <name val="Arial"/>
      <family val="2"/>
    </font>
    <font>
      <sz val="10"/>
      <name val="Arial"/>
      <family val="2"/>
    </font>
    <font>
      <sz val="11"/>
      <color indexed="9"/>
      <name val="Calibri"/>
      <family val="2"/>
    </font>
    <font>
      <sz val="9"/>
      <name val="Arial MT"/>
      <family val="2"/>
    </font>
    <font>
      <sz val="11"/>
      <color indexed="20"/>
      <name val="Calibri"/>
      <family val="2"/>
    </font>
    <font>
      <b/>
      <sz val="11"/>
      <color indexed="52"/>
      <name val="Calibri"/>
      <family val="2"/>
    </font>
    <font>
      <b/>
      <sz val="11"/>
      <color indexed="9"/>
      <name val="Calibri"/>
      <family val="2"/>
    </font>
    <font>
      <sz val="1"/>
      <color indexed="8"/>
      <name val="Courier"/>
      <family val="3"/>
    </font>
    <font>
      <i/>
      <sz val="11"/>
      <color indexed="23"/>
      <name val="Calibri"/>
      <family val="2"/>
    </font>
    <font>
      <sz val="11"/>
      <color indexed="17"/>
      <name val="Calibri"/>
      <family val="2"/>
    </font>
    <font>
      <sz val="8"/>
      <name val="Arial"/>
      <family val="2"/>
    </font>
    <font>
      <b/>
      <sz val="18"/>
      <name val="Arial"/>
      <family val="2"/>
    </font>
    <font>
      <b/>
      <sz val="11"/>
      <color indexed="56"/>
      <name val="Calibri"/>
      <family val="2"/>
    </font>
    <font>
      <b/>
      <sz val="1"/>
      <color indexed="8"/>
      <name val="Courier"/>
      <family val="3"/>
    </font>
    <font>
      <sz val="11"/>
      <color indexed="62"/>
      <name val="Calibri"/>
      <family val="2"/>
    </font>
    <font>
      <sz val="11"/>
      <color indexed="52"/>
      <name val="Calibri"/>
      <family val="2"/>
    </font>
    <font>
      <sz val="11"/>
      <color indexed="60"/>
      <name val="Calibri"/>
      <family val="2"/>
    </font>
    <font>
      <b/>
      <i/>
      <sz val="16"/>
      <name val="Helv"/>
    </font>
    <font>
      <b/>
      <sz val="11"/>
      <color indexed="63"/>
      <name val="Calibri"/>
      <family val="2"/>
    </font>
    <font>
      <b/>
      <sz val="18"/>
      <color indexed="56"/>
      <name val="Cambria"/>
      <family val="2"/>
    </font>
    <font>
      <sz val="11"/>
      <color indexed="10"/>
      <name val="Calibri"/>
      <family val="2"/>
    </font>
    <font>
      <sz val="11"/>
      <name val="Arial"/>
      <family val="2"/>
    </font>
    <font>
      <sz val="10"/>
      <color indexed="8"/>
      <name val="Arial"/>
      <family val="2"/>
    </font>
    <font>
      <b/>
      <sz val="10"/>
      <color indexed="8"/>
      <name val="Arial"/>
      <family val="2"/>
    </font>
    <font>
      <sz val="12"/>
      <name val="Helv"/>
    </font>
    <font>
      <sz val="19"/>
      <color indexed="48"/>
      <name val="Arial"/>
      <family val="2"/>
    </font>
    <font>
      <b/>
      <sz val="9"/>
      <name val="Tahoma"/>
      <family val="2"/>
    </font>
    <font>
      <sz val="12"/>
      <name val="Tms Rmn"/>
    </font>
    <font>
      <b/>
      <sz val="10"/>
      <name val="Helv"/>
    </font>
    <font>
      <sz val="10"/>
      <name val="MS Serif"/>
      <family val="1"/>
    </font>
    <font>
      <sz val="10"/>
      <color indexed="16"/>
      <name val="MS Serif"/>
      <family val="1"/>
    </font>
    <font>
      <b/>
      <sz val="12"/>
      <name val="Helv"/>
    </font>
    <font>
      <b/>
      <sz val="15"/>
      <color indexed="56"/>
      <name val="Calibri"/>
      <family val="2"/>
    </font>
    <font>
      <b/>
      <sz val="13"/>
      <color indexed="56"/>
      <name val="Calibri"/>
      <family val="2"/>
    </font>
    <font>
      <u/>
      <sz val="12"/>
      <color indexed="12"/>
      <name val="Roman 12cpi"/>
    </font>
    <font>
      <b/>
      <sz val="14"/>
      <name val="Helv"/>
    </font>
    <font>
      <sz val="8"/>
      <name val="Times New Roman"/>
      <family val="1"/>
    </font>
    <font>
      <sz val="10"/>
      <name val="Geneva"/>
      <family val="2"/>
    </font>
    <font>
      <b/>
      <sz val="11"/>
      <name val="Helv"/>
    </font>
    <font>
      <sz val="7"/>
      <name val="Small Fonts"/>
      <family val="2"/>
    </font>
    <font>
      <sz val="8"/>
      <name val="Helv"/>
    </font>
    <font>
      <b/>
      <i/>
      <sz val="8"/>
      <name val="Arial"/>
      <family val="2"/>
    </font>
    <font>
      <b/>
      <sz val="9"/>
      <name val="Arial"/>
      <family val="2"/>
    </font>
    <font>
      <b/>
      <sz val="8"/>
      <color indexed="8"/>
      <name val="Helv"/>
    </font>
    <font>
      <sz val="24"/>
      <color indexed="13"/>
      <name val="Helv"/>
    </font>
    <font>
      <b/>
      <sz val="11"/>
      <color indexed="8"/>
      <name val="Calibri"/>
      <family val="2"/>
    </font>
    <font>
      <sz val="10"/>
      <color theme="1"/>
      <name val="Calibri"/>
      <family val="2"/>
      <scheme val="minor"/>
    </font>
    <font>
      <sz val="9"/>
      <name val="Arial"/>
      <family val="2"/>
    </font>
    <font>
      <u/>
      <sz val="10"/>
      <color indexed="12"/>
      <name val="Arial"/>
      <family val="2"/>
    </font>
    <font>
      <b/>
      <sz val="10"/>
      <name val="MS Sans Serif"/>
      <family val="2"/>
    </font>
    <font>
      <sz val="11"/>
      <name val="MS ??"/>
      <family val="1"/>
      <charset val="128"/>
    </font>
    <font>
      <u/>
      <sz val="8.4"/>
      <color indexed="12"/>
      <name val="Arial"/>
      <family val="2"/>
    </font>
    <font>
      <sz val="14"/>
      <name val="Terminal"/>
      <family val="3"/>
      <charset val="128"/>
    </font>
    <font>
      <sz val="12"/>
      <name val="Century Schoolbook"/>
      <family val="1"/>
    </font>
    <font>
      <sz val="10"/>
      <name val="MS Sans Serif"/>
      <family val="2"/>
    </font>
    <font>
      <sz val="12"/>
      <name val="宋体"/>
      <charset val="134"/>
    </font>
    <font>
      <sz val="12"/>
      <name val="¹ÙÅÁÃ¼"/>
      <charset val="129"/>
    </font>
    <font>
      <sz val="14"/>
      <name val="AngsanaUPC"/>
      <family val="1"/>
    </font>
    <font>
      <b/>
      <sz val="8"/>
      <color indexed="24"/>
      <name val="Arial"/>
      <family val="2"/>
    </font>
    <font>
      <b/>
      <sz val="9"/>
      <color indexed="24"/>
      <name val="Arial"/>
      <family val="2"/>
    </font>
    <font>
      <b/>
      <sz val="11"/>
      <color indexed="24"/>
      <name val="Arial"/>
      <family val="2"/>
    </font>
    <font>
      <sz val="10"/>
      <name val="Verdana"/>
      <family val="2"/>
    </font>
    <font>
      <sz val="9"/>
      <name val="Times New Roman"/>
      <family val="1"/>
    </font>
    <font>
      <sz val="8"/>
      <name val="Tahoma"/>
      <family val="2"/>
    </font>
    <font>
      <b/>
      <sz val="8"/>
      <name val="Switzerland"/>
    </font>
    <font>
      <b/>
      <sz val="7.5"/>
      <name val="Switzerland"/>
    </font>
    <font>
      <sz val="8"/>
      <name val="Palatino"/>
      <family val="1"/>
    </font>
    <font>
      <sz val="12"/>
      <name val="SWISS"/>
    </font>
    <font>
      <sz val="10"/>
      <name val="Helv"/>
    </font>
    <font>
      <sz val="24"/>
      <color indexed="13"/>
      <name val="SWISS"/>
    </font>
    <font>
      <b/>
      <sz val="11"/>
      <name val="Switzerland"/>
    </font>
    <font>
      <sz val="10"/>
      <name val="Courier"/>
      <family val="3"/>
    </font>
    <font>
      <sz val="12"/>
      <name val="Univers (WN)"/>
    </font>
    <font>
      <sz val="9"/>
      <name val="Helvetica-Black"/>
    </font>
    <font>
      <sz val="12"/>
      <color indexed="13"/>
      <name val="Helv"/>
    </font>
    <font>
      <u/>
      <sz val="7.5"/>
      <color theme="10"/>
      <name val="Arial"/>
      <family val="2"/>
    </font>
    <font>
      <u/>
      <sz val="10"/>
      <color theme="10"/>
      <name val="Arial"/>
      <family val="2"/>
    </font>
    <font>
      <b/>
      <sz val="10"/>
      <color rgb="FFFF0000"/>
      <name val="Book Antiqua"/>
      <family val="2"/>
    </font>
    <font>
      <b/>
      <u val="singleAccounting"/>
      <sz val="11"/>
      <name val="Calibri Light"/>
      <family val="2"/>
      <scheme val="major"/>
    </font>
    <font>
      <b/>
      <sz val="11"/>
      <name val="Calibri Light"/>
      <family val="2"/>
      <scheme val="major"/>
    </font>
    <font>
      <b/>
      <sz val="12"/>
      <color theme="1"/>
      <name val="Calibri"/>
      <family val="2"/>
      <scheme val="minor"/>
    </font>
    <font>
      <b/>
      <sz val="10"/>
      <name val="Arial"/>
      <family val="2"/>
    </font>
    <font>
      <b/>
      <sz val="20"/>
      <color theme="1"/>
      <name val="Calibri"/>
      <family val="2"/>
      <scheme val="minor"/>
    </font>
    <font>
      <b/>
      <sz val="13"/>
      <color theme="1"/>
      <name val="Calibri"/>
      <family val="2"/>
      <scheme val="minor"/>
    </font>
    <font>
      <sz val="12"/>
      <color rgb="FF000000"/>
      <name val="Calibri"/>
      <family val="2"/>
      <scheme val="minor"/>
    </font>
    <font>
      <b/>
      <sz val="16"/>
      <name val="Calibri"/>
      <family val="2"/>
      <scheme val="minor"/>
    </font>
    <font>
      <sz val="10"/>
      <name val="Calibri"/>
      <family val="2"/>
      <scheme val="minor"/>
    </font>
    <font>
      <b/>
      <sz val="20"/>
      <name val="Calibri"/>
      <family val="2"/>
      <scheme val="minor"/>
    </font>
    <font>
      <sz val="14"/>
      <name val="Calibri"/>
      <family val="2"/>
      <scheme val="minor"/>
    </font>
    <font>
      <b/>
      <sz val="14"/>
      <name val="Calibri"/>
      <family val="2"/>
      <scheme val="minor"/>
    </font>
    <font>
      <b/>
      <u/>
      <sz val="14"/>
      <name val="Calibri"/>
      <family val="2"/>
      <scheme val="minor"/>
    </font>
    <font>
      <b/>
      <i/>
      <u/>
      <sz val="14"/>
      <name val="Calibri"/>
      <family val="2"/>
      <scheme val="minor"/>
    </font>
    <font>
      <i/>
      <sz val="14"/>
      <name val="Calibri"/>
      <family val="2"/>
      <scheme val="minor"/>
    </font>
    <font>
      <u/>
      <sz val="14"/>
      <name val="Calibri"/>
      <family val="2"/>
      <scheme val="minor"/>
    </font>
    <font>
      <sz val="14"/>
      <color theme="2" tint="-0.249977111117893"/>
      <name val="Calibri"/>
      <family val="2"/>
      <scheme val="minor"/>
    </font>
    <font>
      <b/>
      <sz val="14"/>
      <color theme="2" tint="-0.249977111117893"/>
      <name val="Calibri"/>
      <family val="2"/>
      <scheme val="minor"/>
    </font>
    <font>
      <sz val="11"/>
      <color theme="2" tint="-0.249977111117893"/>
      <name val="Calibri"/>
      <family val="2"/>
      <scheme val="minor"/>
    </font>
    <font>
      <b/>
      <u/>
      <sz val="11"/>
      <color theme="2" tint="-0.249977111117893"/>
      <name val="Calibri"/>
      <family val="2"/>
      <scheme val="minor"/>
    </font>
    <font>
      <sz val="10"/>
      <color theme="2" tint="-0.249977111117893"/>
      <name val="Arial"/>
      <family val="2"/>
    </font>
    <font>
      <sz val="9"/>
      <color theme="2" tint="-0.249977111117893"/>
      <name val="Arial"/>
      <family val="2"/>
    </font>
    <font>
      <b/>
      <sz val="9"/>
      <color theme="2" tint="-0.249977111117893"/>
      <name val="Arial"/>
      <family val="2"/>
    </font>
    <font>
      <b/>
      <sz val="12"/>
      <color theme="2" tint="-0.249977111117893"/>
      <name val="Arial"/>
      <family val="2"/>
    </font>
    <font>
      <i/>
      <sz val="9"/>
      <color theme="2" tint="-0.249977111117893"/>
      <name val="Arial"/>
      <family val="2"/>
    </font>
    <font>
      <sz val="14"/>
      <color rgb="FFFF0000"/>
      <name val="Calibri"/>
      <family val="2"/>
      <scheme val="minor"/>
    </font>
  </fonts>
  <fills count="6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40"/>
        <bgColor indexed="64"/>
      </patternFill>
    </fill>
    <fill>
      <patternFill patternType="lightUp">
        <fgColor indexed="48"/>
        <bgColor indexed="41"/>
      </patternFill>
    </fill>
    <fill>
      <patternFill patternType="solid">
        <fgColor indexed="41"/>
      </patternFill>
    </fill>
    <fill>
      <patternFill patternType="solid">
        <fgColor indexed="31"/>
        <bgColor indexed="64"/>
      </patternFill>
    </fill>
    <fill>
      <patternFill patternType="solid">
        <fgColor indexed="15"/>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13"/>
      </patternFill>
    </fill>
    <fill>
      <patternFill patternType="solid">
        <fgColor indexed="43"/>
        <bgColor indexed="26"/>
      </patternFill>
    </fill>
    <fill>
      <patternFill patternType="solid">
        <fgColor indexed="26"/>
        <bgColor indexed="9"/>
      </patternFill>
    </fill>
    <fill>
      <patternFill patternType="solid">
        <fgColor indexed="12"/>
      </patternFill>
    </fill>
    <fill>
      <patternFill patternType="solid">
        <fgColor indexed="9"/>
        <bgColor indexed="64"/>
      </patternFill>
    </fill>
    <fill>
      <patternFill patternType="solid">
        <fgColor indexed="9"/>
        <bgColor indexed="9"/>
      </patternFill>
    </fill>
    <fill>
      <patternFill patternType="solid">
        <fgColor indexed="12"/>
        <bgColor indexed="9"/>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tint="-0.249977111117893"/>
        <bgColor indexed="64"/>
      </patternFill>
    </fill>
  </fills>
  <borders count="94">
    <border>
      <left/>
      <right/>
      <top/>
      <bottom/>
      <diagonal/>
    </border>
    <border>
      <left/>
      <right/>
      <top/>
      <bottom style="thin">
        <color auto="1"/>
      </bottom>
      <diagonal/>
    </border>
    <border>
      <left/>
      <right/>
      <top style="thin">
        <color auto="1"/>
      </top>
      <bottom/>
      <diagonal/>
    </border>
    <border>
      <left style="thin">
        <color indexed="64"/>
      </left>
      <right/>
      <top style="thin">
        <color indexed="64"/>
      </top>
      <bottom/>
      <diagonal/>
    </border>
    <border>
      <left style="thin">
        <color auto="1"/>
      </left>
      <right/>
      <top/>
      <bottom/>
      <diagonal/>
    </border>
    <border>
      <left style="thin">
        <color indexed="64"/>
      </left>
      <right/>
      <top/>
      <bottom style="thin">
        <color indexed="64"/>
      </bottom>
      <diagonal/>
    </border>
    <border>
      <left style="thin">
        <color indexed="64"/>
      </left>
      <right style="thin">
        <color indexed="64"/>
      </right>
      <top style="thin">
        <color auto="1"/>
      </top>
      <bottom style="thin">
        <color auto="1"/>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diagonal/>
    </border>
    <border>
      <left/>
      <right style="thin">
        <color auto="1"/>
      </right>
      <top/>
      <bottom/>
      <diagonal/>
    </border>
    <border>
      <left/>
      <right/>
      <top style="medium">
        <color indexed="64"/>
      </top>
      <bottom/>
      <diagonal/>
    </border>
    <border>
      <left style="thin">
        <color auto="1"/>
      </left>
      <right style="thin">
        <color auto="1"/>
      </right>
      <top style="medium">
        <color indexed="64"/>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auto="1"/>
      </left>
      <right style="thin">
        <color auto="1"/>
      </right>
      <top style="thin">
        <color indexed="64"/>
      </top>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thin">
        <color indexed="64"/>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1"/>
      </left>
      <right style="thin">
        <color indexed="48"/>
      </right>
      <top style="medium">
        <color indexed="41"/>
      </top>
      <bottom style="thin">
        <color indexed="48"/>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bottom style="thick">
        <color indexed="62"/>
      </bottom>
      <diagonal/>
    </border>
    <border>
      <left/>
      <right/>
      <top/>
      <bottom style="thick">
        <color indexed="22"/>
      </bottom>
      <diagonal/>
    </border>
    <border>
      <left style="hair">
        <color indexed="64"/>
      </left>
      <right style="hair">
        <color indexed="64"/>
      </right>
      <top style="thin">
        <color indexed="64"/>
      </top>
      <bottom/>
      <diagonal/>
    </border>
    <border>
      <left style="hair">
        <color indexed="64"/>
      </left>
      <right style="hair">
        <color indexed="64"/>
      </right>
      <top style="double">
        <color indexed="64"/>
      </top>
      <bottom/>
      <diagonal/>
    </border>
    <border>
      <left/>
      <right/>
      <top style="thin">
        <color indexed="62"/>
      </top>
      <bottom style="double">
        <color indexed="62"/>
      </bottom>
      <diagonal/>
    </border>
    <border>
      <left style="thin">
        <color indexed="8"/>
      </left>
      <right style="thin">
        <color indexed="8"/>
      </right>
      <top style="double">
        <color indexed="8"/>
      </top>
      <bottom style="thin">
        <color indexed="8"/>
      </bottom>
      <diagonal/>
    </border>
    <border>
      <left/>
      <right/>
      <top/>
      <bottom style="medium">
        <color indexed="24"/>
      </bottom>
      <diagonal/>
    </border>
    <border>
      <left/>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auto="1"/>
      </bottom>
      <diagonal/>
    </border>
    <border>
      <left style="thin">
        <color auto="1"/>
      </left>
      <right/>
      <top style="thin">
        <color auto="1"/>
      </top>
      <bottom/>
      <diagonal/>
    </border>
    <border>
      <left/>
      <right/>
      <top style="thin">
        <color indexed="64"/>
      </top>
      <bottom style="thin">
        <color indexed="64"/>
      </bottom>
      <diagonal/>
    </border>
    <border>
      <left/>
      <right style="thin">
        <color auto="1"/>
      </right>
      <top style="thin">
        <color indexed="64"/>
      </top>
      <bottom/>
      <diagonal/>
    </border>
    <border>
      <left/>
      <right style="thin">
        <color indexed="64"/>
      </right>
      <top style="thin">
        <color auto="1"/>
      </top>
      <bottom style="double">
        <color indexed="64"/>
      </bottom>
      <diagonal/>
    </border>
    <border>
      <left style="thin">
        <color indexed="64"/>
      </left>
      <right/>
      <top style="thin">
        <color auto="1"/>
      </top>
      <bottom style="thin">
        <color auto="1"/>
      </bottom>
      <diagonal/>
    </border>
    <border>
      <left/>
      <right style="thin">
        <color indexed="64"/>
      </right>
      <top style="thin">
        <color auto="1"/>
      </top>
      <bottom style="thin">
        <color auto="1"/>
      </bottom>
      <diagonal/>
    </border>
    <border>
      <left/>
      <right/>
      <top style="thin">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auto="1"/>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double">
        <color indexed="64"/>
      </bottom>
      <diagonal/>
    </border>
    <border>
      <left/>
      <right/>
      <top style="double">
        <color indexed="64"/>
      </top>
      <bottom/>
      <diagonal/>
    </border>
  </borders>
  <cellStyleXfs count="1339">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xf numFmtId="171" fontId="11" fillId="0" borderId="0"/>
    <xf numFmtId="171" fontId="11" fillId="0" borderId="0"/>
    <xf numFmtId="9" fontId="11" fillId="0" borderId="0" applyFont="0" applyFill="0" applyBorder="0" applyAlignment="0" applyProtection="0"/>
    <xf numFmtId="9" fontId="17" fillId="0" borderId="0" applyFont="0" applyFill="0" applyBorder="0" applyAlignment="0" applyProtection="0"/>
    <xf numFmtId="171" fontId="11" fillId="0" borderId="0"/>
    <xf numFmtId="168" fontId="1" fillId="0" borderId="0" applyFont="0" applyFill="0" applyBorder="0" applyAlignment="0" applyProtection="0"/>
    <xf numFmtId="168" fontId="19" fillId="0" borderId="0" applyFont="0" applyFill="0" applyBorder="0" applyAlignment="0" applyProtection="0"/>
    <xf numFmtId="0" fontId="36" fillId="0" borderId="0" applyNumberFormat="0" applyFill="0" applyBorder="0" applyAlignment="0" applyProtection="0"/>
    <xf numFmtId="0" fontId="19" fillId="0" borderId="0"/>
    <xf numFmtId="171" fontId="11" fillId="0" borderId="0"/>
    <xf numFmtId="178" fontId="11" fillId="0" borderId="0" applyFont="0" applyFill="0" applyBorder="0" applyAlignment="0" applyProtection="0"/>
    <xf numFmtId="168" fontId="11" fillId="0" borderId="0" applyFont="0" applyFill="0" applyBorder="0" applyAlignment="0" applyProtection="0"/>
    <xf numFmtId="179" fontId="11" fillId="0" borderId="0"/>
    <xf numFmtId="179" fontId="11" fillId="0" borderId="0"/>
    <xf numFmtId="180" fontId="11" fillId="0" borderId="0" applyFont="0" applyFill="0" applyBorder="0" applyAlignment="0" applyProtection="0"/>
    <xf numFmtId="0" fontId="54" fillId="0" borderId="0"/>
    <xf numFmtId="178" fontId="11" fillId="0" borderId="0" applyFont="0" applyFill="0" applyBorder="0" applyAlignment="0" applyProtection="0"/>
    <xf numFmtId="171" fontId="11" fillId="0" borderId="0"/>
    <xf numFmtId="168" fontId="11" fillId="0" borderId="0" applyFont="0" applyFill="0" applyBorder="0" applyAlignment="0" applyProtection="0"/>
    <xf numFmtId="0" fontId="11" fillId="0" borderId="0"/>
    <xf numFmtId="171" fontId="11" fillId="0" borderId="0"/>
    <xf numFmtId="178" fontId="11" fillId="0" borderId="0" applyFont="0" applyFill="0" applyBorder="0" applyAlignment="0" applyProtection="0"/>
    <xf numFmtId="43" fontId="65" fillId="0" borderId="0" applyFont="0" applyFill="0" applyBorder="0" applyAlignment="0" applyProtection="0"/>
    <xf numFmtId="171" fontId="11" fillId="0" borderId="0"/>
    <xf numFmtId="178" fontId="11" fillId="0" borderId="0" applyFont="0" applyFill="0" applyBorder="0" applyAlignment="0" applyProtection="0"/>
    <xf numFmtId="171" fontId="11" fillId="0" borderId="0"/>
    <xf numFmtId="0" fontId="11" fillId="0" borderId="0"/>
    <xf numFmtId="9" fontId="11" fillId="0" borderId="0" applyFont="0" applyFill="0" applyBorder="0" applyAlignment="0" applyProtection="0"/>
    <xf numFmtId="168" fontId="11" fillId="0" borderId="0" applyFont="0" applyFill="0" applyBorder="0" applyAlignment="0" applyProtection="0"/>
    <xf numFmtId="0" fontId="78" fillId="0" borderId="0"/>
    <xf numFmtId="0" fontId="65" fillId="6" borderId="0" applyNumberFormat="0" applyBorder="0" applyAlignment="0" applyProtection="0"/>
    <xf numFmtId="0" fontId="65" fillId="7" borderId="0" applyNumberFormat="0" applyBorder="0" applyAlignment="0" applyProtection="0"/>
    <xf numFmtId="0" fontId="65" fillId="8" borderId="0" applyNumberFormat="0" applyBorder="0" applyAlignment="0" applyProtection="0"/>
    <xf numFmtId="0" fontId="65" fillId="9" borderId="0" applyNumberFormat="0" applyBorder="0" applyAlignment="0" applyProtection="0"/>
    <xf numFmtId="0" fontId="65" fillId="10" borderId="0" applyNumberFormat="0" applyBorder="0" applyAlignment="0" applyProtection="0"/>
    <xf numFmtId="0" fontId="65" fillId="11" borderId="0" applyNumberFormat="0" applyBorder="0" applyAlignment="0" applyProtection="0"/>
    <xf numFmtId="0" fontId="65" fillId="12" borderId="0" applyNumberFormat="0" applyBorder="0" applyAlignment="0" applyProtection="0"/>
    <xf numFmtId="0" fontId="65" fillId="13" borderId="0" applyNumberFormat="0" applyBorder="0" applyAlignment="0" applyProtection="0"/>
    <xf numFmtId="0" fontId="65" fillId="14" borderId="0" applyNumberFormat="0" applyBorder="0" applyAlignment="0" applyProtection="0"/>
    <xf numFmtId="0" fontId="65" fillId="9" borderId="0" applyNumberFormat="0" applyBorder="0" applyAlignment="0" applyProtection="0"/>
    <xf numFmtId="0" fontId="65" fillId="12" borderId="0" applyNumberFormat="0" applyBorder="0" applyAlignment="0" applyProtection="0"/>
    <xf numFmtId="0" fontId="65" fillId="15" borderId="0" applyNumberFormat="0" applyBorder="0" applyAlignment="0" applyProtection="0"/>
    <xf numFmtId="0" fontId="79" fillId="16"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23" borderId="0" applyNumberFormat="0" applyBorder="0" applyAlignment="0" applyProtection="0"/>
    <xf numFmtId="0" fontId="80" fillId="0" borderId="0"/>
    <xf numFmtId="0" fontId="81" fillId="7" borderId="0" applyNumberFormat="0" applyBorder="0" applyAlignment="0" applyProtection="0"/>
    <xf numFmtId="0" fontId="82" fillId="24" borderId="60" applyNumberFormat="0" applyAlignment="0" applyProtection="0"/>
    <xf numFmtId="0" fontId="83" fillId="25" borderId="61" applyNumberFormat="0" applyAlignment="0" applyProtection="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65"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167"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90" fontId="84" fillId="0" borderId="0">
      <protection locked="0"/>
    </xf>
    <xf numFmtId="190" fontId="84" fillId="0" borderId="0">
      <protection locked="0"/>
    </xf>
    <xf numFmtId="190" fontId="84" fillId="0" borderId="0">
      <protection locked="0"/>
    </xf>
    <xf numFmtId="38" fontId="49" fillId="0" borderId="0" applyFont="0" applyFill="0" applyBorder="0" applyAlignment="0" applyProtection="0"/>
    <xf numFmtId="195" fontId="11" fillId="0" borderId="0" applyFont="0" applyFill="0" applyBorder="0" applyAlignment="0" applyProtection="0"/>
    <xf numFmtId="195" fontId="11" fillId="0" borderId="0" applyFont="0" applyFill="0" applyBorder="0" applyAlignment="0" applyProtection="0"/>
    <xf numFmtId="0" fontId="85" fillId="0" borderId="0" applyNumberFormat="0" applyFill="0" applyBorder="0" applyAlignment="0" applyProtection="0"/>
    <xf numFmtId="191" fontId="84" fillId="0" borderId="0">
      <protection locked="0"/>
    </xf>
    <xf numFmtId="191" fontId="84" fillId="0" borderId="0">
      <protection locked="0"/>
    </xf>
    <xf numFmtId="191" fontId="84" fillId="0" borderId="0">
      <protection locked="0"/>
    </xf>
    <xf numFmtId="0" fontId="86" fillId="8" borderId="0" applyNumberFormat="0" applyBorder="0" applyAlignment="0" applyProtection="0"/>
    <xf numFmtId="38" fontId="87" fillId="26" borderId="0" applyNumberFormat="0" applyBorder="0" applyAlignment="0" applyProtection="0"/>
    <xf numFmtId="0" fontId="88" fillId="0" borderId="0" applyNumberFormat="0" applyFont="0" applyFill="0" applyAlignment="0" applyProtection="0"/>
    <xf numFmtId="0" fontId="88" fillId="0" borderId="0" applyNumberFormat="0" applyFont="0" applyFill="0" applyAlignment="0" applyProtection="0"/>
    <xf numFmtId="0" fontId="88" fillId="0" borderId="0" applyNumberFormat="0" applyFont="0" applyFill="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77" fillId="0" borderId="0" applyNumberFormat="0" applyFont="0" applyFill="0" applyAlignment="0" applyProtection="0"/>
    <xf numFmtId="0" fontId="89" fillId="0" borderId="62" applyNumberFormat="0" applyFill="0" applyAlignment="0" applyProtection="0"/>
    <xf numFmtId="0" fontId="89" fillId="0" borderId="0" applyNumberFormat="0" applyFill="0" applyBorder="0" applyAlignment="0" applyProtection="0"/>
    <xf numFmtId="192" fontId="90" fillId="0" borderId="0">
      <protection locked="0"/>
    </xf>
    <xf numFmtId="192" fontId="90" fillId="0" borderId="0">
      <protection locked="0"/>
    </xf>
    <xf numFmtId="192" fontId="90" fillId="0" borderId="0">
      <protection locked="0"/>
    </xf>
    <xf numFmtId="192" fontId="90" fillId="0" borderId="0">
      <protection locked="0"/>
    </xf>
    <xf numFmtId="192" fontId="90" fillId="0" borderId="0">
      <protection locked="0"/>
    </xf>
    <xf numFmtId="192" fontId="90" fillId="0" borderId="0">
      <protection locked="0"/>
    </xf>
    <xf numFmtId="0" fontId="91" fillId="11" borderId="60" applyNumberFormat="0" applyAlignment="0" applyProtection="0"/>
    <xf numFmtId="10" fontId="87" fillId="27" borderId="6" applyNumberFormat="0" applyBorder="0" applyAlignment="0" applyProtection="0"/>
    <xf numFmtId="0" fontId="92" fillId="0" borderId="63" applyNumberFormat="0" applyFill="0" applyAlignment="0" applyProtection="0"/>
    <xf numFmtId="0" fontId="93" fillId="28" borderId="0" applyNumberFormat="0" applyBorder="0" applyAlignment="0" applyProtection="0"/>
    <xf numFmtId="193" fontId="94" fillId="0" borderId="0"/>
    <xf numFmtId="196" fontId="11" fillId="0" borderId="0"/>
    <xf numFmtId="0" fontId="99" fillId="0" borderId="0">
      <alignment vertical="top"/>
    </xf>
    <xf numFmtId="0" fontId="1" fillId="0" borderId="0"/>
    <xf numFmtId="0" fontId="103" fillId="0" borderId="0">
      <alignment vertical="center"/>
    </xf>
    <xf numFmtId="0" fontId="103" fillId="0" borderId="0">
      <alignment vertical="center"/>
    </xf>
    <xf numFmtId="0" fontId="103" fillId="0" borderId="0">
      <alignment vertical="center"/>
    </xf>
    <xf numFmtId="0" fontId="99" fillId="0" borderId="0">
      <alignment vertical="top"/>
    </xf>
    <xf numFmtId="0" fontId="99" fillId="0" borderId="0">
      <alignment vertical="top"/>
    </xf>
    <xf numFmtId="0" fontId="99" fillId="0" borderId="0">
      <alignment vertical="top"/>
    </xf>
    <xf numFmtId="194" fontId="11" fillId="0" borderId="0"/>
    <xf numFmtId="0" fontId="11" fillId="0" borderId="0"/>
    <xf numFmtId="0" fontId="11" fillId="0" borderId="0"/>
    <xf numFmtId="0" fontId="11" fillId="0" borderId="0"/>
    <xf numFmtId="193" fontId="11" fillId="0" borderId="0"/>
    <xf numFmtId="193" fontId="11" fillId="0" borderId="0"/>
    <xf numFmtId="193" fontId="11" fillId="0" borderId="0"/>
    <xf numFmtId="0" fontId="17" fillId="0" borderId="0"/>
    <xf numFmtId="0" fontId="11" fillId="0" borderId="0"/>
    <xf numFmtId="196" fontId="11" fillId="0" borderId="0"/>
    <xf numFmtId="0" fontId="11" fillId="29" borderId="64" applyNumberFormat="0" applyFont="0" applyAlignment="0" applyProtection="0"/>
    <xf numFmtId="0" fontId="95" fillId="24" borderId="65" applyNumberFormat="0" applyAlignment="0" applyProtection="0"/>
    <xf numFmtId="10" fontId="11" fillId="0" borderId="0" applyFont="0" applyFill="0" applyBorder="0" applyAlignment="0" applyProtection="0"/>
    <xf numFmtId="10" fontId="11" fillId="0" borderId="0" applyFont="0" applyFill="0" applyBorder="0" applyAlignment="0" applyProtection="0"/>
    <xf numFmtId="9" fontId="11" fillId="0" borderId="0" applyFont="0" applyFill="0" applyBorder="0" applyAlignment="0" applyProtection="0"/>
    <xf numFmtId="0" fontId="78"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 fontId="100" fillId="30" borderId="0" applyNumberFormat="0" applyProtection="0">
      <alignment horizontal="left" vertical="center" indent="1"/>
    </xf>
    <xf numFmtId="4" fontId="100" fillId="31" borderId="66" applyNumberFormat="0" applyProtection="0">
      <alignment horizontal="left" vertical="center" indent="1"/>
    </xf>
    <xf numFmtId="4" fontId="99" fillId="32" borderId="0" applyNumberFormat="0" applyProtection="0">
      <alignment horizontal="left" vertical="center" indent="1"/>
    </xf>
    <xf numFmtId="4" fontId="99" fillId="32" borderId="0" applyNumberFormat="0" applyProtection="0">
      <alignment horizontal="left" vertical="center" indent="1"/>
    </xf>
    <xf numFmtId="4" fontId="99" fillId="30" borderId="0" applyNumberFormat="0" applyProtection="0">
      <alignment horizontal="left" vertical="center" indent="1"/>
    </xf>
    <xf numFmtId="4" fontId="99" fillId="32" borderId="67" applyNumberFormat="0" applyProtection="0">
      <alignment horizontal="right" vertical="center"/>
    </xf>
    <xf numFmtId="0" fontId="11" fillId="33" borderId="65" applyNumberFormat="0" applyProtection="0">
      <alignment horizontal="left" vertical="center" indent="1"/>
    </xf>
    <xf numFmtId="0" fontId="99" fillId="30" borderId="67" applyNumberFormat="0" applyProtection="0">
      <alignment horizontal="left" vertical="top" indent="1"/>
    </xf>
    <xf numFmtId="4" fontId="102" fillId="34" borderId="0" applyNumberFormat="0" applyProtection="0">
      <alignment horizontal="left" vertical="center" indent="1"/>
    </xf>
    <xf numFmtId="0" fontId="11" fillId="0" borderId="0" applyNumberFormat="0" applyFill="0" applyBorder="0" applyAlignment="0" applyProtection="0"/>
    <xf numFmtId="40" fontId="56" fillId="0" borderId="0"/>
    <xf numFmtId="0" fontId="96" fillId="0" borderId="0" applyNumberFormat="0" applyFill="0" applyBorder="0" applyAlignment="0" applyProtection="0"/>
    <xf numFmtId="192" fontId="84" fillId="0" borderId="8">
      <protection locked="0"/>
    </xf>
    <xf numFmtId="192" fontId="84" fillId="0" borderId="8">
      <protection locked="0"/>
    </xf>
    <xf numFmtId="192" fontId="84" fillId="0" borderId="8">
      <protection locked="0"/>
    </xf>
    <xf numFmtId="197" fontId="49" fillId="0" borderId="0" applyFont="0" applyFill="0" applyBorder="0" applyAlignment="0" applyProtection="0"/>
    <xf numFmtId="198" fontId="49" fillId="0" borderId="0" applyFont="0" applyFill="0" applyBorder="0" applyAlignment="0" applyProtection="0"/>
    <xf numFmtId="0" fontId="97" fillId="0" borderId="0" applyNumberFormat="0" applyFill="0" applyBorder="0" applyAlignment="0" applyProtection="0"/>
    <xf numFmtId="0" fontId="11" fillId="29" borderId="0" applyNumberFormat="0" applyFont="0" applyBorder="0" applyAlignment="0" applyProtection="0"/>
    <xf numFmtId="0" fontId="65" fillId="6" borderId="0" applyNumberFormat="0" applyBorder="0" applyAlignment="0" applyProtection="0"/>
    <xf numFmtId="0" fontId="65" fillId="7" borderId="0" applyNumberFormat="0" applyBorder="0" applyAlignment="0" applyProtection="0"/>
    <xf numFmtId="0" fontId="65" fillId="8" borderId="0" applyNumberFormat="0" applyBorder="0" applyAlignment="0" applyProtection="0"/>
    <xf numFmtId="0" fontId="65" fillId="9" borderId="0" applyNumberFormat="0" applyBorder="0" applyAlignment="0" applyProtection="0"/>
    <xf numFmtId="0" fontId="65" fillId="10" borderId="0" applyNumberFormat="0" applyBorder="0" applyAlignment="0" applyProtection="0"/>
    <xf numFmtId="0" fontId="65" fillId="11" borderId="0" applyNumberFormat="0" applyBorder="0" applyAlignment="0" applyProtection="0"/>
    <xf numFmtId="0" fontId="65" fillId="12" borderId="0" applyNumberFormat="0" applyBorder="0" applyAlignment="0" applyProtection="0"/>
    <xf numFmtId="0" fontId="65" fillId="13" borderId="0" applyNumberFormat="0" applyBorder="0" applyAlignment="0" applyProtection="0"/>
    <xf numFmtId="0" fontId="65" fillId="14" borderId="0" applyNumberFormat="0" applyBorder="0" applyAlignment="0" applyProtection="0"/>
    <xf numFmtId="0" fontId="65" fillId="9" borderId="0" applyNumberFormat="0" applyBorder="0" applyAlignment="0" applyProtection="0"/>
    <xf numFmtId="0" fontId="65" fillId="12" borderId="0" applyNumberFormat="0" applyBorder="0" applyAlignment="0" applyProtection="0"/>
    <xf numFmtId="0" fontId="65" fillId="15" borderId="0" applyNumberFormat="0" applyBorder="0" applyAlignment="0" applyProtection="0"/>
    <xf numFmtId="0" fontId="79" fillId="16"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23" borderId="0" applyNumberFormat="0" applyBorder="0" applyAlignment="0" applyProtection="0"/>
    <xf numFmtId="0" fontId="81" fillId="7" borderId="0" applyNumberFormat="0" applyBorder="0" applyAlignment="0" applyProtection="0"/>
    <xf numFmtId="0" fontId="82" fillId="24" borderId="60" applyNumberFormat="0" applyAlignment="0" applyProtection="0"/>
    <xf numFmtId="0" fontId="83" fillId="25" borderId="61" applyNumberFormat="0" applyAlignment="0" applyProtection="0"/>
    <xf numFmtId="0" fontId="85" fillId="0" borderId="0" applyNumberFormat="0" applyFill="0" applyBorder="0" applyAlignment="0" applyProtection="0"/>
    <xf numFmtId="0" fontId="86" fillId="8" borderId="0" applyNumberFormat="0" applyBorder="0" applyAlignment="0" applyProtection="0"/>
    <xf numFmtId="0" fontId="89" fillId="0" borderId="62" applyNumberFormat="0" applyFill="0" applyAlignment="0" applyProtection="0"/>
    <xf numFmtId="0" fontId="89" fillId="0" borderId="0" applyNumberFormat="0" applyFill="0" applyBorder="0" applyAlignment="0" applyProtection="0"/>
    <xf numFmtId="0" fontId="91" fillId="11" borderId="60" applyNumberFormat="0" applyAlignment="0" applyProtection="0"/>
    <xf numFmtId="0" fontId="92" fillId="0" borderId="63" applyNumberFormat="0" applyFill="0" applyAlignment="0" applyProtection="0"/>
    <xf numFmtId="0" fontId="93" fillId="28" borderId="0" applyNumberFormat="0" applyBorder="0" applyAlignment="0" applyProtection="0"/>
    <xf numFmtId="0" fontId="11" fillId="0" borderId="0"/>
    <xf numFmtId="0" fontId="11" fillId="29" borderId="64" applyNumberFormat="0" applyFont="0" applyAlignment="0" applyProtection="0"/>
    <xf numFmtId="0" fontId="95" fillId="24" borderId="65" applyNumberFormat="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1" fillId="0" borderId="0"/>
    <xf numFmtId="0" fontId="103" fillId="0" borderId="0">
      <alignment vertical="center"/>
    </xf>
    <xf numFmtId="43" fontId="11" fillId="0" borderId="0" applyFont="0" applyFill="0" applyBorder="0" applyAlignment="0" applyProtection="0"/>
    <xf numFmtId="0" fontId="1" fillId="0" borderId="0"/>
    <xf numFmtId="193" fontId="65" fillId="0" borderId="0" applyFont="0" applyFill="0" applyBorder="0" applyAlignment="0" applyProtection="0"/>
    <xf numFmtId="0" fontId="103" fillId="0" borderId="0">
      <alignment vertical="center"/>
    </xf>
    <xf numFmtId="43" fontId="11" fillId="0" borderId="0" applyFont="0" applyFill="0" applyBorder="0" applyAlignment="0" applyProtection="0"/>
    <xf numFmtId="0" fontId="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4" fillId="0" borderId="0"/>
    <xf numFmtId="0" fontId="54" fillId="0" borderId="0"/>
    <xf numFmtId="0" fontId="54" fillId="0" borderId="0"/>
    <xf numFmtId="0" fontId="11" fillId="0" borderId="0"/>
    <xf numFmtId="0" fontId="11" fillId="0" borderId="0"/>
    <xf numFmtId="0" fontId="11" fillId="0" borderId="0"/>
    <xf numFmtId="0" fontId="54" fillId="0" borderId="0"/>
    <xf numFmtId="0" fontId="54" fillId="0" borderId="0"/>
    <xf numFmtId="0" fontId="54" fillId="0" borderId="0"/>
    <xf numFmtId="0" fontId="11" fillId="0" borderId="0"/>
    <xf numFmtId="0" fontId="11" fillId="0" borderId="0"/>
    <xf numFmtId="0" fontId="11" fillId="0" borderId="0"/>
    <xf numFmtId="0" fontId="54" fillId="0" borderId="0"/>
    <xf numFmtId="0" fontId="11" fillId="0" borderId="0"/>
    <xf numFmtId="0" fontId="54" fillId="0" borderId="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6" borderId="0" applyNumberFormat="0" applyBorder="0" applyAlignment="0" applyProtection="0"/>
    <xf numFmtId="0" fontId="65" fillId="36" borderId="0" applyNumberFormat="0" applyBorder="0" applyAlignment="0" applyProtection="0"/>
    <xf numFmtId="0" fontId="65" fillId="36" borderId="0" applyNumberFormat="0" applyBorder="0" applyAlignment="0" applyProtection="0"/>
    <xf numFmtId="0" fontId="65" fillId="36" borderId="0" applyNumberFormat="0" applyBorder="0" applyAlignment="0" applyProtection="0"/>
    <xf numFmtId="0" fontId="65" fillId="36" borderId="0" applyNumberFormat="0" applyBorder="0" applyAlignment="0" applyProtection="0"/>
    <xf numFmtId="0" fontId="65" fillId="36" borderId="0" applyNumberFormat="0" applyBorder="0" applyAlignment="0" applyProtection="0"/>
    <xf numFmtId="0" fontId="65" fillId="36" borderId="0" applyNumberFormat="0" applyBorder="0" applyAlignment="0" applyProtection="0"/>
    <xf numFmtId="0" fontId="65" fillId="36" borderId="0" applyNumberFormat="0" applyBorder="0" applyAlignment="0" applyProtection="0"/>
    <xf numFmtId="0" fontId="65" fillId="36"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79" fillId="45" borderId="0" applyNumberFormat="0" applyBorder="0" applyAlignment="0" applyProtection="0"/>
    <xf numFmtId="0" fontId="79" fillId="45"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3" borderId="0" applyNumberFormat="0" applyBorder="0" applyAlignment="0" applyProtection="0"/>
    <xf numFmtId="0" fontId="79" fillId="43"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48" borderId="0" applyNumberFormat="0" applyBorder="0" applyAlignment="0" applyProtection="0"/>
    <xf numFmtId="0" fontId="79" fillId="48" borderId="0" applyNumberFormat="0" applyBorder="0" applyAlignment="0" applyProtection="0"/>
    <xf numFmtId="0" fontId="11" fillId="0" borderId="0"/>
    <xf numFmtId="0" fontId="79" fillId="49" borderId="0" applyNumberFormat="0" applyBorder="0" applyAlignment="0" applyProtection="0"/>
    <xf numFmtId="0" fontId="79" fillId="49" borderId="0" applyNumberFormat="0" applyBorder="0" applyAlignment="0" applyProtection="0"/>
    <xf numFmtId="0" fontId="79" fillId="50" borderId="0" applyNumberFormat="0" applyBorder="0" applyAlignment="0" applyProtection="0"/>
    <xf numFmtId="0" fontId="79" fillId="50" borderId="0" applyNumberFormat="0" applyBorder="0" applyAlignment="0" applyProtection="0"/>
    <xf numFmtId="0" fontId="79" fillId="51" borderId="0" applyNumberFormat="0" applyBorder="0" applyAlignment="0" applyProtection="0"/>
    <xf numFmtId="0" fontId="79" fillId="51" borderId="0" applyNumberFormat="0" applyBorder="0" applyAlignment="0" applyProtection="0"/>
    <xf numFmtId="0" fontId="79" fillId="46" borderId="0" applyNumberFormat="0" applyBorder="0" applyAlignment="0" applyProtection="0"/>
    <xf numFmtId="0" fontId="79" fillId="46" borderId="0" applyNumberFormat="0" applyBorder="0" applyAlignment="0" applyProtection="0"/>
    <xf numFmtId="0" fontId="79" fillId="47" borderId="0" applyNumberFormat="0" applyBorder="0" applyAlignment="0" applyProtection="0"/>
    <xf numFmtId="0" fontId="79" fillId="47" borderId="0" applyNumberFormat="0" applyBorder="0" applyAlignment="0" applyProtection="0"/>
    <xf numFmtId="0" fontId="79" fillId="52" borderId="0" applyNumberFormat="0" applyBorder="0" applyAlignment="0" applyProtection="0"/>
    <xf numFmtId="0" fontId="79" fillId="52"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104" fillId="0" borderId="0" applyNumberFormat="0" applyFill="0" applyBorder="0" applyAlignment="0" applyProtection="0"/>
    <xf numFmtId="0" fontId="11" fillId="0" borderId="0"/>
    <xf numFmtId="199" fontId="11" fillId="0" borderId="0" applyFill="0" applyBorder="0" applyAlignment="0"/>
    <xf numFmtId="200" fontId="11" fillId="0" borderId="0" applyFill="0" applyBorder="0" applyAlignment="0"/>
    <xf numFmtId="201" fontId="11" fillId="0" borderId="0" applyFill="0" applyBorder="0" applyAlignment="0"/>
    <xf numFmtId="202" fontId="11" fillId="0" borderId="0" applyFill="0" applyBorder="0" applyAlignment="0"/>
    <xf numFmtId="0" fontId="11" fillId="0" borderId="0" applyFill="0" applyBorder="0" applyAlignment="0"/>
    <xf numFmtId="203" fontId="11" fillId="0" borderId="0" applyFill="0" applyBorder="0" applyAlignment="0"/>
    <xf numFmtId="0" fontId="11" fillId="0" borderId="0" applyFill="0" applyBorder="0" applyAlignment="0"/>
    <xf numFmtId="200" fontId="11" fillId="0" borderId="0" applyFill="0" applyBorder="0" applyAlignment="0"/>
    <xf numFmtId="0" fontId="82" fillId="53" borderId="60" applyNumberFormat="0" applyAlignment="0" applyProtection="0"/>
    <xf numFmtId="0" fontId="82" fillId="53" borderId="60" applyNumberFormat="0" applyAlignment="0" applyProtection="0"/>
    <xf numFmtId="0" fontId="105" fillId="0" borderId="0"/>
    <xf numFmtId="0" fontId="11" fillId="0" borderId="0"/>
    <xf numFmtId="0" fontId="83" fillId="54" borderId="61" applyNumberFormat="0" applyAlignment="0" applyProtection="0"/>
    <xf numFmtId="0" fontId="83" fillId="54" borderId="61" applyNumberFormat="0" applyAlignment="0" applyProtection="0"/>
    <xf numFmtId="20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5" fillId="0" borderId="0" applyFont="0" applyFill="0" applyBorder="0" applyAlignment="0" applyProtection="0"/>
    <xf numFmtId="0" fontId="106" fillId="0" borderId="0" applyNumberFormat="0" applyAlignment="0">
      <alignment horizontal="left"/>
    </xf>
    <xf numFmtId="204" fontId="104" fillId="0" borderId="6"/>
    <xf numFmtId="200" fontId="11" fillId="0" borderId="0" applyFont="0" applyFill="0" applyBorder="0" applyAlignment="0" applyProtection="0"/>
    <xf numFmtId="167" fontId="11" fillId="0" borderId="0" applyFont="0" applyFill="0" applyBorder="0" applyAlignment="0" applyProtection="0"/>
    <xf numFmtId="0" fontId="101" fillId="0" borderId="0"/>
    <xf numFmtId="205" fontId="11" fillId="0" borderId="0"/>
    <xf numFmtId="0" fontId="101" fillId="0" borderId="69"/>
    <xf numFmtId="14" fontId="99" fillId="0" borderId="0" applyFill="0" applyBorder="0" applyAlignment="0"/>
    <xf numFmtId="203" fontId="11" fillId="0" borderId="0" applyFill="0" applyBorder="0" applyAlignment="0"/>
    <xf numFmtId="200" fontId="11" fillId="0" borderId="0" applyFill="0" applyBorder="0" applyAlignment="0"/>
    <xf numFmtId="203" fontId="11" fillId="0" borderId="0" applyFill="0" applyBorder="0" applyAlignment="0"/>
    <xf numFmtId="0" fontId="11" fillId="0" borderId="0" applyFill="0" applyBorder="0" applyAlignment="0"/>
    <xf numFmtId="200" fontId="11" fillId="0" borderId="0" applyFill="0" applyBorder="0" applyAlignment="0"/>
    <xf numFmtId="0" fontId="107" fillId="0" borderId="0" applyNumberFormat="0" applyAlignment="0">
      <alignment horizontal="left"/>
    </xf>
    <xf numFmtId="0" fontId="85" fillId="0" borderId="0" applyNumberFormat="0" applyFill="0" applyBorder="0" applyAlignment="0" applyProtection="0"/>
    <xf numFmtId="0" fontId="85" fillId="0" borderId="0" applyNumberFormat="0" applyFill="0" applyBorder="0" applyAlignment="0" applyProtection="0"/>
    <xf numFmtId="0" fontId="86" fillId="37" borderId="0" applyNumberFormat="0" applyBorder="0" applyAlignment="0" applyProtection="0"/>
    <xf numFmtId="0" fontId="86" fillId="37" borderId="0" applyNumberFormat="0" applyBorder="0" applyAlignment="0" applyProtection="0"/>
    <xf numFmtId="0" fontId="108" fillId="0" borderId="0">
      <alignment horizontal="left"/>
    </xf>
    <xf numFmtId="0" fontId="77" fillId="0" borderId="49" applyNumberFormat="0" applyAlignment="0" applyProtection="0">
      <alignment horizontal="left" vertical="center"/>
    </xf>
    <xf numFmtId="0" fontId="77" fillId="0" borderId="68">
      <alignment horizontal="left" vertical="center"/>
    </xf>
    <xf numFmtId="0" fontId="109" fillId="0" borderId="70" applyNumberFormat="0" applyFill="0" applyAlignment="0" applyProtection="0"/>
    <xf numFmtId="0" fontId="110" fillId="0" borderId="71" applyNumberFormat="0" applyFill="0" applyAlignment="0" applyProtection="0"/>
    <xf numFmtId="0" fontId="89" fillId="0" borderId="62" applyNumberFormat="0" applyFill="0" applyAlignment="0" applyProtection="0"/>
    <xf numFmtId="0" fontId="89" fillId="0" borderId="6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11" fillId="0" borderId="0" applyNumberFormat="0" applyFill="0" applyBorder="0" applyAlignment="0" applyProtection="0">
      <alignment vertical="top"/>
      <protection locked="0"/>
    </xf>
    <xf numFmtId="0" fontId="91" fillId="40" borderId="60" applyNumberFormat="0" applyAlignment="0" applyProtection="0"/>
    <xf numFmtId="0" fontId="91" fillId="40" borderId="60" applyNumberFormat="0" applyAlignment="0" applyProtection="0"/>
    <xf numFmtId="0" fontId="112" fillId="55" borderId="69"/>
    <xf numFmtId="203" fontId="11" fillId="0" borderId="0" applyFill="0" applyBorder="0" applyAlignment="0"/>
    <xf numFmtId="200" fontId="11" fillId="0" borderId="0" applyFill="0" applyBorder="0" applyAlignment="0"/>
    <xf numFmtId="203" fontId="11" fillId="0" borderId="0" applyFill="0" applyBorder="0" applyAlignment="0"/>
    <xf numFmtId="0" fontId="11" fillId="0" borderId="0" applyFill="0" applyBorder="0" applyAlignment="0"/>
    <xf numFmtId="200" fontId="11" fillId="0" borderId="0" applyFill="0" applyBorder="0" applyAlignment="0"/>
    <xf numFmtId="0" fontId="92" fillId="0" borderId="63" applyNumberFormat="0" applyFill="0" applyAlignment="0" applyProtection="0"/>
    <xf numFmtId="0" fontId="92" fillId="0" borderId="63" applyNumberFormat="0" applyFill="0" applyAlignment="0" applyProtection="0"/>
    <xf numFmtId="0" fontId="113" fillId="0" borderId="0"/>
    <xf numFmtId="38" fontId="114" fillId="0" borderId="0" applyFont="0" applyFill="0" applyBorder="0" applyAlignment="0" applyProtection="0"/>
    <xf numFmtId="40" fontId="114" fillId="0" borderId="0" applyFont="0" applyFill="0" applyBorder="0" applyAlignment="0" applyProtection="0"/>
    <xf numFmtId="0" fontId="115" fillId="0" borderId="21"/>
    <xf numFmtId="206" fontId="114" fillId="0" borderId="0" applyFont="0" applyFill="0" applyBorder="0" applyAlignment="0" applyProtection="0"/>
    <xf numFmtId="207" fontId="114" fillId="0" borderId="0" applyFont="0" applyFill="0" applyBorder="0" applyAlignment="0" applyProtection="0"/>
    <xf numFmtId="0" fontId="93" fillId="56" borderId="0" applyNumberFormat="0" applyBorder="0" applyAlignment="0" applyProtection="0"/>
    <xf numFmtId="0" fontId="93" fillId="56" borderId="0" applyNumberFormat="0" applyBorder="0" applyAlignment="0" applyProtection="0"/>
    <xf numFmtId="37" fontId="1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57" borderId="64" applyNumberFormat="0" applyAlignment="0" applyProtection="0"/>
    <xf numFmtId="0" fontId="11" fillId="57" borderId="64" applyNumberFormat="0" applyAlignment="0" applyProtection="0"/>
    <xf numFmtId="0" fontId="95" fillId="53" borderId="65" applyNumberFormat="0" applyAlignment="0" applyProtection="0"/>
    <xf numFmtId="0" fontId="95" fillId="53" borderId="65" applyNumberFormat="0" applyAlignment="0" applyProtection="0"/>
    <xf numFmtId="0" fontId="11" fillId="0" borderId="0" applyFont="0" applyFill="0" applyBorder="0" applyAlignment="0" applyProtection="0"/>
    <xf numFmtId="208" fontId="11" fillId="0" borderId="0" applyFont="0" applyFill="0" applyBorder="0" applyAlignment="0" applyProtection="0"/>
    <xf numFmtId="9" fontId="11" fillId="0" borderId="0" applyFont="0" applyFill="0" applyBorder="0" applyAlignment="0" applyProtection="0"/>
    <xf numFmtId="0" fontId="113" fillId="0" borderId="0"/>
    <xf numFmtId="203" fontId="11" fillId="0" borderId="0" applyFill="0" applyBorder="0" applyAlignment="0"/>
    <xf numFmtId="200" fontId="11" fillId="0" borderId="0" applyFill="0" applyBorder="0" applyAlignment="0"/>
    <xf numFmtId="203" fontId="11" fillId="0" borderId="0" applyFill="0" applyBorder="0" applyAlignment="0"/>
    <xf numFmtId="0" fontId="11" fillId="0" borderId="0" applyFill="0" applyBorder="0" applyAlignment="0"/>
    <xf numFmtId="200" fontId="11" fillId="0" borderId="0" applyFill="0" applyBorder="0" applyAlignment="0"/>
    <xf numFmtId="0" fontId="101" fillId="0" borderId="0"/>
    <xf numFmtId="209" fontId="117" fillId="0" borderId="0" applyNumberFormat="0" applyFill="0" applyBorder="0" applyAlignment="0" applyProtection="0">
      <alignment horizontal="left"/>
    </xf>
    <xf numFmtId="0" fontId="118" fillId="0" borderId="72"/>
    <xf numFmtId="0" fontId="11" fillId="0" borderId="0"/>
    <xf numFmtId="0" fontId="115" fillId="0" borderId="0"/>
    <xf numFmtId="0" fontId="119" fillId="0" borderId="73"/>
    <xf numFmtId="40" fontId="120" fillId="0" borderId="0" applyBorder="0">
      <alignment horizontal="right"/>
    </xf>
    <xf numFmtId="0" fontId="101" fillId="0" borderId="69"/>
    <xf numFmtId="49" fontId="99" fillId="0" borderId="0" applyFill="0" applyBorder="0" applyAlignment="0"/>
    <xf numFmtId="0" fontId="11" fillId="0" borderId="0" applyFill="0" applyBorder="0" applyAlignment="0"/>
    <xf numFmtId="0" fontId="11" fillId="0" borderId="0" applyFill="0" applyBorder="0" applyAlignment="0"/>
    <xf numFmtId="0" fontId="121" fillId="58" borderId="0"/>
    <xf numFmtId="0" fontId="96" fillId="0" borderId="0" applyNumberFormat="0" applyFill="0" applyBorder="0" applyAlignment="0" applyProtection="0"/>
    <xf numFmtId="0" fontId="96" fillId="0" borderId="0" applyNumberFormat="0" applyFill="0" applyBorder="0" applyAlignment="0" applyProtection="0"/>
    <xf numFmtId="0" fontId="122" fillId="0" borderId="74" applyNumberFormat="0" applyFill="0" applyAlignment="0" applyProtection="0"/>
    <xf numFmtId="0" fontId="112" fillId="0" borderId="75"/>
    <xf numFmtId="0" fontId="112" fillId="0" borderId="69"/>
    <xf numFmtId="0" fontId="54" fillId="0" borderId="0"/>
    <xf numFmtId="0" fontId="54" fillId="0" borderId="0"/>
    <xf numFmtId="0" fontId="97" fillId="0" borderId="0" applyNumberFormat="0" applyFill="0" applyBorder="0" applyAlignment="0" applyProtection="0"/>
    <xf numFmtId="0" fontId="97" fillId="0" borderId="0" applyNumberFormat="0" applyFill="0" applyBorder="0" applyAlignment="0" applyProtection="0"/>
    <xf numFmtId="0" fontId="87" fillId="0" borderId="0"/>
    <xf numFmtId="0" fontId="11" fillId="0" borderId="0"/>
    <xf numFmtId="0" fontId="113" fillId="0" borderId="0"/>
    <xf numFmtId="0" fontId="113" fillId="0" borderId="0"/>
    <xf numFmtId="0" fontId="113" fillId="0" borderId="0"/>
    <xf numFmtId="0" fontId="11" fillId="0" borderId="0"/>
    <xf numFmtId="0" fontId="98" fillId="0" borderId="0"/>
    <xf numFmtId="0" fontId="11" fillId="0" borderId="0"/>
    <xf numFmtId="0" fontId="103" fillId="0" borderId="0">
      <alignment vertical="center"/>
    </xf>
    <xf numFmtId="0" fontId="123" fillId="0" borderId="0"/>
    <xf numFmtId="0" fontId="103" fillId="0" borderId="0">
      <alignment vertical="center"/>
    </xf>
    <xf numFmtId="0" fontId="103" fillId="0" borderId="0">
      <alignment vertical="center"/>
    </xf>
    <xf numFmtId="180" fontId="11" fillId="0" borderId="0" applyFill="0" applyBorder="0" applyAlignment="0" applyProtection="0"/>
    <xf numFmtId="0" fontId="1" fillId="0" borderId="0"/>
    <xf numFmtId="43" fontId="1" fillId="0" borderId="0" applyFont="0" applyFill="0" applyBorder="0" applyAlignment="0" applyProtection="0"/>
    <xf numFmtId="0" fontId="126" fillId="0" borderId="0" applyNumberFormat="0" applyFill="0" applyBorder="0" applyAlignment="0" applyProtection="0"/>
    <xf numFmtId="211" fontId="11" fillId="0" borderId="0" applyFont="0" applyFill="0" applyBorder="0" applyAlignment="0" applyProtection="0"/>
    <xf numFmtId="210" fontId="11" fillId="0" borderId="0" applyFont="0" applyFill="0" applyBorder="0" applyAlignment="0" applyProtection="0"/>
    <xf numFmtId="40" fontId="127" fillId="0" borderId="0" applyFont="0" applyFill="0" applyBorder="0" applyAlignment="0" applyProtection="0"/>
    <xf numFmtId="0" fontId="128" fillId="0" borderId="0" applyNumberFormat="0" applyFill="0" applyBorder="0" applyAlignment="0" applyProtection="0">
      <alignment vertical="top"/>
      <protection locked="0"/>
    </xf>
    <xf numFmtId="38" fontId="127" fillId="0" borderId="0" applyFont="0" applyFill="0" applyBorder="0" applyAlignment="0" applyProtection="0"/>
    <xf numFmtId="0" fontId="129" fillId="0" borderId="0"/>
    <xf numFmtId="189" fontId="130" fillId="0" borderId="0" applyFont="0" applyFill="0" applyBorder="0" applyAlignment="0" applyProtection="0"/>
    <xf numFmtId="0" fontId="11" fillId="0" borderId="0" applyFont="0" applyFill="0" applyBorder="0" applyAlignment="0" applyProtection="0"/>
    <xf numFmtId="189" fontId="130" fillId="0" borderId="0" applyFont="0" applyFill="0" applyBorder="0" applyAlignment="0" applyProtection="0"/>
    <xf numFmtId="38" fontId="131" fillId="0" borderId="0" applyFont="0" applyFill="0" applyBorder="0" applyAlignment="0" applyProtection="0"/>
    <xf numFmtId="212" fontId="11" fillId="0" borderId="0" applyFont="0" applyFill="0" applyBorder="0" applyAlignment="0" applyProtection="0"/>
    <xf numFmtId="213" fontId="11" fillId="0" borderId="0" applyFill="0" applyBorder="0" applyAlignment="0" applyProtection="0"/>
    <xf numFmtId="213" fontId="11" fillId="0" borderId="0" applyFont="0" applyFill="0" applyBorder="0" applyAlignment="0" applyProtection="0"/>
    <xf numFmtId="41" fontId="130" fillId="0" borderId="0" applyFont="0" applyFill="0" applyBorder="0" applyAlignment="0" applyProtection="0"/>
    <xf numFmtId="189" fontId="11" fillId="0" borderId="0" applyFill="0" applyBorder="0" applyAlignment="0" applyProtection="0"/>
    <xf numFmtId="189" fontId="11" fillId="0" borderId="0" applyFill="0" applyBorder="0" applyAlignment="0" applyProtection="0"/>
    <xf numFmtId="214" fontId="11" fillId="0" borderId="0" applyFont="0" applyFill="0" applyBorder="0" applyAlignment="0" applyProtection="0"/>
    <xf numFmtId="38" fontId="131" fillId="0" borderId="0" applyFont="0" applyFill="0" applyBorder="0" applyAlignment="0" applyProtection="0"/>
    <xf numFmtId="189" fontId="130" fillId="0" borderId="0" applyFont="0" applyFill="0" applyBorder="0" applyAlignment="0" applyProtection="0"/>
    <xf numFmtId="212" fontId="130" fillId="0" borderId="0" applyFont="0" applyFill="0" applyBorder="0" applyAlignment="0" applyProtection="0"/>
    <xf numFmtId="213" fontId="11" fillId="0" borderId="0" applyFont="0" applyFill="0" applyBorder="0" applyAlignment="0" applyProtection="0"/>
    <xf numFmtId="213" fontId="11" fillId="0" borderId="0" applyFill="0" applyBorder="0" applyAlignment="0" applyProtection="0"/>
    <xf numFmtId="0" fontId="11" fillId="0" borderId="0"/>
    <xf numFmtId="0" fontId="11" fillId="0" borderId="0"/>
    <xf numFmtId="213" fontId="130" fillId="0" borderId="0" applyFont="0" applyFill="0" applyBorder="0" applyAlignment="0" applyProtection="0"/>
    <xf numFmtId="215" fontId="11" fillId="0" borderId="0">
      <alignment horizontal="center" wrapText="1"/>
    </xf>
    <xf numFmtId="0" fontId="132" fillId="0" borderId="0"/>
    <xf numFmtId="9" fontId="133" fillId="0" borderId="0" applyFont="0" applyFill="0" applyBorder="0" applyAlignment="0" applyProtection="0"/>
    <xf numFmtId="9" fontId="134" fillId="0" borderId="0"/>
    <xf numFmtId="0" fontId="87" fillId="0" borderId="0" applyNumberFormat="0" applyAlignment="0"/>
    <xf numFmtId="187" fontId="11" fillId="0" borderId="0" applyFont="0" applyFill="0" applyBorder="0" applyAlignment="0" applyProtection="0"/>
    <xf numFmtId="216" fontId="11" fillId="0" borderId="0" applyFont="0" applyFill="0" applyBorder="0" applyAlignment="0" applyProtection="0"/>
    <xf numFmtId="188" fontId="11" fillId="0" borderId="0" applyFont="0" applyFill="0" applyBorder="0" applyAlignment="0" applyProtection="0"/>
    <xf numFmtId="217" fontId="11" fillId="0" borderId="0" applyFont="0" applyFill="0" applyBorder="0" applyAlignment="0" applyProtection="0"/>
    <xf numFmtId="38" fontId="131" fillId="0" borderId="0" applyFont="0" applyFill="0" applyBorder="0" applyAlignment="0" applyProtection="0"/>
    <xf numFmtId="49" fontId="135" fillId="0" borderId="0" applyFont="0" applyFill="0" applyBorder="0" applyAlignment="0" applyProtection="0">
      <alignment horizontal="left"/>
    </xf>
    <xf numFmtId="218" fontId="124" fillId="0" borderId="0" applyAlignment="0" applyProtection="0"/>
    <xf numFmtId="174" fontId="124" fillId="0" borderId="0" applyAlignment="0" applyProtection="0"/>
    <xf numFmtId="183" fontId="87" fillId="0" borderId="0" applyFill="0" applyBorder="0" applyAlignment="0" applyProtection="0"/>
    <xf numFmtId="49" fontId="87" fillId="0" borderId="0" applyNumberFormat="0" applyAlignment="0" applyProtection="0">
      <alignment horizontal="left"/>
    </xf>
    <xf numFmtId="49" fontId="136" fillId="0" borderId="76" applyNumberFormat="0" applyAlignment="0" applyProtection="0">
      <alignment horizontal="left" wrapText="1"/>
    </xf>
    <xf numFmtId="49" fontId="136" fillId="0" borderId="0" applyNumberFormat="0" applyAlignment="0" applyProtection="0">
      <alignment horizontal="left" wrapText="1"/>
    </xf>
    <xf numFmtId="49" fontId="137" fillId="0" borderId="0" applyAlignment="0" applyProtection="0">
      <alignment horizontal="left"/>
    </xf>
    <xf numFmtId="213" fontId="11" fillId="0" borderId="0" applyFont="0" applyFill="0" applyBorder="0" applyAlignment="0" applyProtection="0"/>
    <xf numFmtId="0" fontId="133" fillId="0" borderId="0"/>
    <xf numFmtId="0" fontId="138" fillId="0" borderId="0" applyFill="0" applyBorder="0" applyAlignment="0"/>
    <xf numFmtId="219" fontId="139" fillId="0" borderId="0" applyFill="0" applyBorder="0" applyAlignment="0"/>
    <xf numFmtId="0" fontId="139" fillId="0" borderId="0" applyFill="0" applyBorder="0" applyAlignment="0"/>
    <xf numFmtId="220" fontId="11" fillId="0" borderId="0" applyFill="0" applyBorder="0" applyAlignment="0"/>
    <xf numFmtId="221" fontId="11" fillId="0" borderId="0" applyFill="0" applyBorder="0" applyAlignment="0"/>
    <xf numFmtId="0" fontId="138" fillId="0" borderId="0" applyFill="0" applyBorder="0" applyAlignment="0"/>
    <xf numFmtId="222" fontId="11" fillId="0" borderId="0" applyFill="0" applyBorder="0" applyAlignment="0"/>
    <xf numFmtId="219" fontId="139" fillId="0" borderId="0" applyFill="0" applyBorder="0" applyAlignment="0"/>
    <xf numFmtId="0" fontId="140" fillId="59" borderId="0">
      <alignment vertical="top"/>
    </xf>
    <xf numFmtId="1" fontId="141" fillId="0" borderId="0">
      <alignment vertical="center"/>
    </xf>
    <xf numFmtId="0" fontId="142" fillId="0" borderId="0">
      <alignment horizontal="right" vertical="center"/>
    </xf>
    <xf numFmtId="38" fontId="13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0" fontId="138" fillId="0" borderId="0" applyFont="0" applyFill="0" applyBorder="0" applyAlignment="0" applyProtection="0"/>
    <xf numFmtId="223" fontId="143" fillId="0" borderId="0" applyFont="0" applyFill="0" applyBorder="0" applyAlignment="0" applyProtection="0">
      <alignment horizontal="right"/>
    </xf>
    <xf numFmtId="43" fontId="65" fillId="0" borderId="0" applyFont="0" applyFill="0" applyBorder="0" applyAlignment="0" applyProtection="0"/>
    <xf numFmtId="43" fontId="11" fillId="0" borderId="0" applyFont="0" applyFill="0" applyBorder="0" applyAlignment="0" applyProtection="0"/>
    <xf numFmtId="195" fontId="132" fillId="0" borderId="0" applyFont="0" applyFill="0" applyBorder="0" applyAlignment="0" applyProtection="0"/>
    <xf numFmtId="164" fontId="65" fillId="0" borderId="0" applyFont="0" applyFill="0" applyBorder="0" applyAlignment="0" applyProtection="0"/>
    <xf numFmtId="43" fontId="11" fillId="0" borderId="0" applyFont="0" applyFill="0" applyBorder="0" applyAlignment="0" applyProtection="0"/>
    <xf numFmtId="189" fontId="65" fillId="0" borderId="0" applyFont="0" applyFill="0" applyBorder="0" applyAlignment="0" applyProtection="0"/>
    <xf numFmtId="189" fontId="65" fillId="0" borderId="0" applyFont="0" applyFill="0" applyBorder="0" applyAlignment="0" applyProtection="0"/>
    <xf numFmtId="189" fontId="65" fillId="0" borderId="0" applyFont="0" applyFill="0" applyBorder="0" applyAlignment="0" applyProtection="0"/>
    <xf numFmtId="189" fontId="65" fillId="0" borderId="0" applyFont="0" applyFill="0" applyBorder="0" applyAlignment="0" applyProtection="0"/>
    <xf numFmtId="189" fontId="65" fillId="0" borderId="0" applyFont="0" applyFill="0" applyBorder="0" applyAlignment="0" applyProtection="0"/>
    <xf numFmtId="189" fontId="65"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43" fontId="65" fillId="0" borderId="0" applyFont="0" applyFill="0" applyBorder="0" applyAlignment="0" applyProtection="0"/>
    <xf numFmtId="43" fontId="11" fillId="0" borderId="0" applyFont="0" applyFill="0" applyBorder="0" applyAlignment="0" applyProtection="0"/>
    <xf numFmtId="43" fontId="65" fillId="0" borderId="0" applyFont="0" applyFill="0" applyBorder="0" applyAlignment="0" applyProtection="0"/>
    <xf numFmtId="43" fontId="11" fillId="0" borderId="0" applyFont="0" applyFill="0" applyBorder="0" applyAlignment="0" applyProtection="0"/>
    <xf numFmtId="43" fontId="65" fillId="0" borderId="0" applyFont="0" applyFill="0" applyBorder="0" applyAlignment="0" applyProtection="0"/>
    <xf numFmtId="174" fontId="65" fillId="0" borderId="0" applyFont="0" applyFill="0" applyBorder="0" applyAlignment="0" applyProtection="0"/>
    <xf numFmtId="167" fontId="11" fillId="0" borderId="0" applyFont="0" applyFill="0" applyBorder="0" applyAlignment="0" applyProtection="0"/>
    <xf numFmtId="189"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89" fontId="65" fillId="0" borderId="0" applyFont="0" applyFill="0" applyBorder="0" applyAlignment="0" applyProtection="0"/>
    <xf numFmtId="189" fontId="65" fillId="0" borderId="0" applyFont="0" applyFill="0" applyBorder="0" applyAlignment="0" applyProtection="0"/>
    <xf numFmtId="189" fontId="65" fillId="0" borderId="0" applyFont="0" applyFill="0" applyBorder="0" applyAlignment="0" applyProtection="0"/>
    <xf numFmtId="43" fontId="11"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1" fontId="11" fillId="0" borderId="0" applyFont="0" applyFill="0" applyBorder="0" applyAlignment="0" applyProtection="0"/>
    <xf numFmtId="43" fontId="11"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43" fontId="65" fillId="0" borderId="0" applyFont="0" applyFill="0" applyBorder="0" applyAlignment="0" applyProtection="0"/>
    <xf numFmtId="167"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43" fontId="65" fillId="0" borderId="0" applyFont="0" applyFill="0" applyBorder="0" applyAlignment="0" applyProtection="0"/>
    <xf numFmtId="43" fontId="6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5" fillId="0" borderId="0" applyFont="0" applyFill="0" applyBorder="0" applyAlignment="0" applyProtection="0"/>
    <xf numFmtId="3" fontId="11" fillId="0" borderId="0" applyFont="0" applyFill="0" applyBorder="0" applyAlignment="0" applyProtection="0"/>
    <xf numFmtId="219" fontId="139" fillId="0" borderId="0" applyFont="0" applyFill="0" applyBorder="0" applyAlignment="0" applyProtection="0"/>
    <xf numFmtId="224" fontId="143" fillId="0" borderId="0" applyFont="0" applyFill="0" applyBorder="0" applyAlignment="0" applyProtection="0">
      <alignment horizontal="right"/>
    </xf>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4" fontId="11" fillId="0" borderId="0" applyFont="0" applyFill="0" applyBorder="0" applyAlignment="0" applyProtection="0"/>
    <xf numFmtId="0" fontId="101" fillId="0" borderId="0"/>
    <xf numFmtId="17" fontId="11" fillId="0" borderId="0" applyFont="0" applyFill="0" applyBorder="0" applyAlignment="0" applyProtection="0"/>
    <xf numFmtId="1" fontId="144" fillId="60" borderId="0"/>
    <xf numFmtId="38" fontId="131" fillId="0" borderId="77">
      <alignment vertical="center"/>
    </xf>
    <xf numFmtId="4" fontId="145" fillId="0" borderId="0" applyFont="0" applyFill="0" applyBorder="0" applyAlignment="0" applyProtection="0"/>
    <xf numFmtId="1" fontId="146" fillId="61" borderId="0"/>
    <xf numFmtId="0" fontId="138" fillId="0" borderId="0" applyFill="0" applyBorder="0" applyAlignment="0"/>
    <xf numFmtId="219" fontId="139" fillId="0" borderId="0" applyFill="0" applyBorder="0" applyAlignment="0"/>
    <xf numFmtId="0" fontId="138" fillId="0" borderId="0" applyFill="0" applyBorder="0" applyAlignment="0"/>
    <xf numFmtId="222" fontId="11" fillId="0" borderId="0" applyFill="0" applyBorder="0" applyAlignment="0"/>
    <xf numFmtId="219" fontId="139" fillId="0" borderId="0" applyFill="0" applyBorder="0" applyAlignment="0"/>
    <xf numFmtId="195" fontId="11" fillId="0" borderId="0" applyFont="0" applyFill="0" applyBorder="0" applyAlignment="0" applyProtection="0"/>
    <xf numFmtId="189" fontId="130" fillId="0" borderId="0" applyFont="0" applyFill="0" applyBorder="0" applyAlignment="0" applyProtection="0"/>
    <xf numFmtId="0" fontId="147" fillId="0" borderId="0">
      <alignment horizontal="left" vertical="center"/>
    </xf>
    <xf numFmtId="0" fontId="152"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38" fontId="131" fillId="0" borderId="0" applyFont="0" applyFill="0" applyBorder="0" applyAlignment="0" applyProtection="0"/>
    <xf numFmtId="0" fontId="54" fillId="0" borderId="0" applyFill="0" applyBorder="0"/>
    <xf numFmtId="0" fontId="138" fillId="0" borderId="0" applyFill="0" applyBorder="0" applyAlignment="0"/>
    <xf numFmtId="219" fontId="139" fillId="0" borderId="0" applyFill="0" applyBorder="0" applyAlignment="0"/>
    <xf numFmtId="0" fontId="138" fillId="0" borderId="0" applyFill="0" applyBorder="0" applyAlignment="0"/>
    <xf numFmtId="222" fontId="11" fillId="0" borderId="0" applyFill="0" applyBorder="0" applyAlignment="0"/>
    <xf numFmtId="219" fontId="139" fillId="0" borderId="0" applyFill="0" applyBorder="0" applyAlignment="0"/>
    <xf numFmtId="198" fontId="1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21" fontId="11" fillId="0" borderId="0" applyFont="0" applyFill="0" applyBorder="0" applyAlignment="0" applyProtection="0"/>
    <xf numFmtId="225" fontId="11" fillId="0" borderId="0" applyFont="0" applyFill="0" applyBorder="0" applyAlignment="0" applyProtection="0"/>
    <xf numFmtId="10"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4"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38" fillId="0" borderId="0" applyFill="0" applyBorder="0" applyAlignment="0"/>
    <xf numFmtId="219" fontId="139" fillId="0" borderId="0" applyFill="0" applyBorder="0" applyAlignment="0"/>
    <xf numFmtId="0" fontId="138" fillId="0" borderId="0" applyFill="0" applyBorder="0" applyAlignment="0"/>
    <xf numFmtId="222" fontId="11" fillId="0" borderId="0" applyFill="0" applyBorder="0" applyAlignment="0"/>
    <xf numFmtId="219" fontId="139" fillId="0" borderId="0" applyFill="0" applyBorder="0" applyAlignment="0"/>
    <xf numFmtId="0" fontId="101" fillId="0" borderId="0"/>
    <xf numFmtId="1" fontId="144" fillId="60" borderId="0"/>
    <xf numFmtId="0" fontId="142" fillId="0" borderId="0">
      <alignment vertical="center"/>
    </xf>
    <xf numFmtId="0" fontId="131" fillId="0" borderId="0"/>
    <xf numFmtId="0" fontId="149" fillId="0" borderId="0"/>
    <xf numFmtId="214" fontId="11" fillId="0" borderId="0" applyFont="0" applyFill="0" applyBorder="0" applyAlignment="0" applyProtection="0"/>
    <xf numFmtId="1" fontId="147" fillId="0" borderId="0">
      <alignment vertical="center"/>
    </xf>
    <xf numFmtId="0" fontId="101" fillId="0" borderId="69"/>
    <xf numFmtId="0" fontId="150" fillId="0" borderId="0" applyFill="0" applyBorder="0" applyProtection="0">
      <alignment horizontal="left"/>
    </xf>
    <xf numFmtId="206" fontId="11" fillId="0" borderId="0" applyFill="0" applyBorder="0" applyAlignment="0"/>
    <xf numFmtId="226" fontId="11" fillId="0" borderId="0" applyFill="0" applyBorder="0" applyAlignment="0"/>
    <xf numFmtId="0" fontId="151" fillId="58" borderId="0"/>
    <xf numFmtId="0" fontId="112" fillId="0" borderId="75"/>
    <xf numFmtId="0" fontId="112" fillId="0" borderId="69"/>
    <xf numFmtId="213" fontId="130" fillId="0" borderId="0" applyFont="0" applyFill="0" applyBorder="0" applyAlignment="0" applyProtection="0"/>
    <xf numFmtId="0" fontId="11" fillId="29" borderId="0" applyNumberFormat="0" applyFont="0" applyBorder="0" applyAlignment="0" applyProtection="0"/>
    <xf numFmtId="0" fontId="11" fillId="29" borderId="0" applyNumberFormat="0" applyFont="0" applyBorder="0" applyAlignment="0" applyProtection="0"/>
    <xf numFmtId="189" fontId="11" fillId="0" borderId="0" applyFont="0" applyFill="0" applyBorder="0" applyAlignment="0" applyProtection="0"/>
    <xf numFmtId="43" fontId="11" fillId="0" borderId="0" applyFont="0" applyFill="0" applyBorder="0" applyAlignment="0" applyProtection="0"/>
    <xf numFmtId="0" fontId="11" fillId="0" borderId="0"/>
    <xf numFmtId="0" fontId="125" fillId="0" borderId="0" applyNumberFormat="0" applyFill="0" applyBorder="0" applyAlignment="0" applyProtection="0">
      <alignment vertical="top"/>
      <protection locked="0"/>
    </xf>
    <xf numFmtId="43" fontId="11" fillId="0" borderId="0" applyFont="0" applyFill="0" applyBorder="0" applyAlignment="0" applyProtection="0"/>
    <xf numFmtId="0" fontId="11" fillId="0" borderId="0" applyBorder="0">
      <alignment vertical="center"/>
    </xf>
    <xf numFmtId="0" fontId="65" fillId="6" borderId="0" applyNumberFormat="0" applyBorder="0" applyAlignment="0" applyProtection="0"/>
    <xf numFmtId="0" fontId="65" fillId="6" borderId="0" applyNumberFormat="0" applyBorder="0" applyAlignment="0" applyProtection="0"/>
    <xf numFmtId="0" fontId="65" fillId="7" borderId="0" applyNumberFormat="0" applyBorder="0" applyAlignment="0" applyProtection="0"/>
    <xf numFmtId="0" fontId="65" fillId="8" borderId="0" applyNumberFormat="0" applyBorder="0" applyAlignment="0" applyProtection="0"/>
    <xf numFmtId="0" fontId="65" fillId="9" borderId="0" applyNumberFormat="0" applyBorder="0" applyAlignment="0" applyProtection="0"/>
    <xf numFmtId="0" fontId="65" fillId="10" borderId="0" applyNumberFormat="0" applyBorder="0" applyAlignment="0" applyProtection="0"/>
    <xf numFmtId="0" fontId="65" fillId="11" borderId="0" applyNumberFormat="0" applyBorder="0" applyAlignment="0" applyProtection="0"/>
    <xf numFmtId="0" fontId="65" fillId="12" borderId="0" applyNumberFormat="0" applyBorder="0" applyAlignment="0" applyProtection="0"/>
    <xf numFmtId="0" fontId="65" fillId="13" borderId="0" applyNumberFormat="0" applyBorder="0" applyAlignment="0" applyProtection="0"/>
    <xf numFmtId="0" fontId="65" fillId="14" borderId="0" applyNumberFormat="0" applyBorder="0" applyAlignment="0" applyProtection="0"/>
    <xf numFmtId="0" fontId="65" fillId="9" borderId="0" applyNumberFormat="0" applyBorder="0" applyAlignment="0" applyProtection="0"/>
    <xf numFmtId="0" fontId="65" fillId="12" borderId="0" applyNumberFormat="0" applyBorder="0" applyAlignment="0" applyProtection="0"/>
    <xf numFmtId="0" fontId="65" fillId="15" borderId="0" applyNumberFormat="0" applyBorder="0" applyAlignment="0" applyProtection="0"/>
    <xf numFmtId="0" fontId="79" fillId="16"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23" borderId="0" applyNumberFormat="0" applyBorder="0" applyAlignment="0" applyProtection="0"/>
    <xf numFmtId="0" fontId="79" fillId="18" borderId="0" applyNumberFormat="0" applyBorder="0" applyAlignment="0" applyProtection="0"/>
    <xf numFmtId="0" fontId="81" fillId="7" borderId="0" applyNumberFormat="0" applyBorder="0" applyAlignment="0" applyProtection="0"/>
    <xf numFmtId="0" fontId="82" fillId="24" borderId="60" applyNumberFormat="0" applyAlignment="0" applyProtection="0"/>
    <xf numFmtId="0" fontId="83" fillId="25" borderId="61" applyNumberFormat="0" applyAlignment="0" applyProtection="0"/>
    <xf numFmtId="0" fontId="79" fillId="17"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79" fillId="22" borderId="0" applyNumberFormat="0" applyBorder="0" applyAlignment="0" applyProtection="0"/>
    <xf numFmtId="0" fontId="79" fillId="21" borderId="0" applyNumberFormat="0" applyBorder="0" applyAlignment="0" applyProtection="0"/>
    <xf numFmtId="0" fontId="79" fillId="20" borderId="0" applyNumberFormat="0" applyBorder="0" applyAlignment="0" applyProtection="0"/>
    <xf numFmtId="0" fontId="79" fillId="19" borderId="0" applyNumberFormat="0" applyBorder="0" applyAlignment="0" applyProtection="0"/>
    <xf numFmtId="0" fontId="79" fillId="18" borderId="0" applyNumberFormat="0" applyBorder="0" applyAlignment="0" applyProtection="0"/>
    <xf numFmtId="43" fontId="11" fillId="0" borderId="0" applyFont="0" applyFill="0" applyBorder="0" applyAlignment="0" applyProtection="0"/>
    <xf numFmtId="0" fontId="79" fillId="17" borderId="0" applyNumberFormat="0" applyBorder="0" applyAlignment="0" applyProtection="0"/>
    <xf numFmtId="43" fontId="11" fillId="0" borderId="0" applyFont="0" applyFill="0" applyBorder="0" applyAlignment="0" applyProtection="0"/>
    <xf numFmtId="3" fontId="11" fillId="0" borderId="0" applyFont="0" applyFill="0" applyBorder="0" applyAlignment="0" applyProtection="0"/>
    <xf numFmtId="0" fontId="79" fillId="14" borderId="0" applyNumberFormat="0" applyBorder="0" applyAlignment="0" applyProtection="0"/>
    <xf numFmtId="0" fontId="79" fillId="13" borderId="0" applyNumberFormat="0" applyBorder="0" applyAlignment="0" applyProtection="0"/>
    <xf numFmtId="0" fontId="79" fillId="16" borderId="0" applyNumberFormat="0" applyBorder="0" applyAlignment="0" applyProtection="0"/>
    <xf numFmtId="0" fontId="65" fillId="15" borderId="0" applyNumberFormat="0" applyBorder="0" applyAlignment="0" applyProtection="0"/>
    <xf numFmtId="0" fontId="65" fillId="12" borderId="0" applyNumberFormat="0" applyBorder="0" applyAlignment="0" applyProtection="0"/>
    <xf numFmtId="0" fontId="65" fillId="9" borderId="0" applyNumberFormat="0" applyBorder="0" applyAlignment="0" applyProtection="0"/>
    <xf numFmtId="0" fontId="65" fillId="14" borderId="0" applyNumberFormat="0" applyBorder="0" applyAlignment="0" applyProtection="0"/>
    <xf numFmtId="0" fontId="65" fillId="13" borderId="0" applyNumberFormat="0" applyBorder="0" applyAlignment="0" applyProtection="0"/>
    <xf numFmtId="164" fontId="11" fillId="0" borderId="0" applyFont="0" applyFill="0" applyBorder="0" applyAlignment="0" applyProtection="0"/>
    <xf numFmtId="0" fontId="65" fillId="12" borderId="0" applyNumberFormat="0" applyBorder="0" applyAlignment="0" applyProtection="0"/>
    <xf numFmtId="195" fontId="11" fillId="0" borderId="0" applyFont="0" applyFill="0" applyBorder="0" applyAlignment="0" applyProtection="0"/>
    <xf numFmtId="0" fontId="65" fillId="11" borderId="0" applyNumberFormat="0" applyBorder="0" applyAlignment="0" applyProtection="0"/>
    <xf numFmtId="0" fontId="86" fillId="8" borderId="0" applyNumberFormat="0" applyBorder="0" applyAlignment="0" applyProtection="0"/>
    <xf numFmtId="0" fontId="65" fillId="10" borderId="0" applyNumberFormat="0" applyBorder="0" applyAlignment="0" applyProtection="0"/>
    <xf numFmtId="0" fontId="88" fillId="0" borderId="0" applyNumberFormat="0" applyFont="0" applyFill="0" applyAlignment="0" applyProtection="0"/>
    <xf numFmtId="0" fontId="77" fillId="0" borderId="0" applyNumberFormat="0" applyFont="0" applyFill="0" applyAlignment="0" applyProtection="0"/>
    <xf numFmtId="0" fontId="65" fillId="9" borderId="0" applyNumberFormat="0" applyBorder="0" applyAlignment="0" applyProtection="0"/>
    <xf numFmtId="0" fontId="65" fillId="8" borderId="0" applyNumberFormat="0" applyBorder="0" applyAlignment="0" applyProtection="0"/>
    <xf numFmtId="0" fontId="91" fillId="11" borderId="60" applyNumberFormat="0" applyAlignment="0" applyProtection="0"/>
    <xf numFmtId="0" fontId="65" fillId="7" borderId="0" applyNumberFormat="0" applyBorder="0" applyAlignment="0" applyProtection="0"/>
    <xf numFmtId="0" fontId="93" fillId="28" borderId="0" applyNumberFormat="0" applyBorder="0" applyAlignment="0" applyProtection="0"/>
    <xf numFmtId="0" fontId="65" fillId="8" borderId="0" applyNumberFormat="0" applyBorder="0" applyAlignment="0" applyProtection="0"/>
    <xf numFmtId="0" fontId="11" fillId="29" borderId="64" applyNumberFormat="0" applyFont="0" applyAlignment="0" applyProtection="0"/>
    <xf numFmtId="0" fontId="95" fillId="24" borderId="65" applyNumberFormat="0" applyAlignment="0" applyProtection="0"/>
    <xf numFmtId="10" fontId="11" fillId="0" borderId="0" applyFont="0" applyFill="0" applyBorder="0" applyAlignment="0" applyProtection="0"/>
    <xf numFmtId="192" fontId="84" fillId="0" borderId="8">
      <protection locked="0"/>
    </xf>
    <xf numFmtId="0" fontId="11" fillId="29" borderId="0" applyNumberFormat="0" applyFont="0" applyBorder="0" applyAlignment="0" applyProtection="0"/>
    <xf numFmtId="0" fontId="79" fillId="23" borderId="0" applyNumberFormat="0" applyBorder="0" applyAlignment="0" applyProtection="0"/>
    <xf numFmtId="0" fontId="81" fillId="7" borderId="0" applyNumberFormat="0" applyBorder="0" applyAlignment="0" applyProtection="0"/>
    <xf numFmtId="0" fontId="82" fillId="24" borderId="60" applyNumberFormat="0" applyAlignment="0" applyProtection="0"/>
    <xf numFmtId="0" fontId="83" fillId="25" borderId="61" applyNumberFormat="0" applyAlignment="0" applyProtection="0"/>
    <xf numFmtId="0" fontId="79" fillId="23"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79" fillId="18" borderId="0" applyNumberFormat="0" applyBorder="0" applyAlignment="0" applyProtection="0"/>
    <xf numFmtId="0" fontId="79" fillId="17" borderId="0" applyNumberFormat="0" applyBorder="0" applyAlignment="0" applyProtection="0"/>
    <xf numFmtId="0" fontId="79" fillId="22" borderId="0" applyNumberFormat="0" applyBorder="0" applyAlignment="0" applyProtection="0"/>
    <xf numFmtId="0" fontId="79" fillId="21" borderId="0" applyNumberFormat="0" applyBorder="0" applyAlignment="0" applyProtection="0"/>
    <xf numFmtId="0" fontId="79" fillId="20" borderId="0" applyNumberFormat="0" applyBorder="0" applyAlignment="0" applyProtection="0"/>
    <xf numFmtId="43" fontId="11" fillId="0" borderId="0" applyFont="0" applyFill="0" applyBorder="0" applyAlignment="0" applyProtection="0"/>
    <xf numFmtId="0" fontId="79" fillId="19" borderId="0" applyNumberFormat="0" applyBorder="0" applyAlignment="0" applyProtection="0"/>
    <xf numFmtId="43" fontId="11" fillId="0" borderId="0" applyFont="0" applyFill="0" applyBorder="0" applyAlignment="0" applyProtection="0"/>
    <xf numFmtId="3" fontId="11" fillId="0" borderId="0" applyFont="0" applyFill="0" applyBorder="0" applyAlignment="0" applyProtection="0"/>
    <xf numFmtId="0" fontId="79" fillId="18" borderId="0" applyNumberFormat="0" applyBorder="0" applyAlignment="0" applyProtection="0"/>
    <xf numFmtId="0" fontId="79" fillId="17" borderId="0" applyNumberFormat="0" applyBorder="0" applyAlignment="0" applyProtection="0"/>
    <xf numFmtId="0" fontId="79" fillId="14" borderId="0" applyNumberFormat="0" applyBorder="0" applyAlignment="0" applyProtection="0"/>
    <xf numFmtId="0" fontId="79" fillId="13" borderId="0" applyNumberFormat="0" applyBorder="0" applyAlignment="0" applyProtection="0"/>
    <xf numFmtId="0" fontId="79" fillId="16" borderId="0" applyNumberFormat="0" applyBorder="0" applyAlignment="0" applyProtection="0"/>
    <xf numFmtId="0" fontId="65" fillId="15" borderId="0" applyNumberFormat="0" applyBorder="0" applyAlignment="0" applyProtection="0"/>
    <xf numFmtId="0" fontId="65" fillId="12" borderId="0" applyNumberFormat="0" applyBorder="0" applyAlignment="0" applyProtection="0"/>
    <xf numFmtId="0" fontId="65" fillId="9" borderId="0" applyNumberFormat="0" applyBorder="0" applyAlignment="0" applyProtection="0"/>
    <xf numFmtId="164" fontId="11" fillId="0" borderId="0" applyFont="0" applyFill="0" applyBorder="0" applyAlignment="0" applyProtection="0"/>
    <xf numFmtId="0" fontId="65" fillId="14" borderId="0" applyNumberFormat="0" applyBorder="0" applyAlignment="0" applyProtection="0"/>
    <xf numFmtId="195" fontId="11" fillId="0" borderId="0" applyFont="0" applyFill="0" applyBorder="0" applyAlignment="0" applyProtection="0"/>
    <xf numFmtId="0" fontId="85" fillId="0" borderId="0" applyNumberFormat="0" applyFill="0" applyBorder="0" applyAlignment="0" applyProtection="0"/>
    <xf numFmtId="0" fontId="65" fillId="13" borderId="0" applyNumberFormat="0" applyBorder="0" applyAlignment="0" applyProtection="0"/>
    <xf numFmtId="0" fontId="86" fillId="8" borderId="0" applyNumberFormat="0" applyBorder="0" applyAlignment="0" applyProtection="0"/>
    <xf numFmtId="0" fontId="65" fillId="12" borderId="0" applyNumberFormat="0" applyBorder="0" applyAlignment="0" applyProtection="0"/>
    <xf numFmtId="0" fontId="88" fillId="0" borderId="0" applyNumberFormat="0" applyFont="0" applyFill="0" applyAlignment="0" applyProtection="0"/>
    <xf numFmtId="0" fontId="77" fillId="0" borderId="0" applyNumberFormat="0" applyFont="0" applyFill="0" applyAlignment="0" applyProtection="0"/>
    <xf numFmtId="0" fontId="89" fillId="0" borderId="62" applyNumberFormat="0" applyFill="0" applyAlignment="0" applyProtection="0"/>
    <xf numFmtId="0" fontId="89" fillId="0" borderId="0" applyNumberFormat="0" applyFill="0" applyBorder="0" applyAlignment="0" applyProtection="0"/>
    <xf numFmtId="0" fontId="65" fillId="11" borderId="0" applyNumberFormat="0" applyBorder="0" applyAlignment="0" applyProtection="0"/>
    <xf numFmtId="0" fontId="65" fillId="10" borderId="0" applyNumberFormat="0" applyBorder="0" applyAlignment="0" applyProtection="0"/>
    <xf numFmtId="0" fontId="91" fillId="11" borderId="60" applyNumberFormat="0" applyAlignment="0" applyProtection="0"/>
    <xf numFmtId="0" fontId="65" fillId="9" borderId="0" applyNumberFormat="0" applyBorder="0" applyAlignment="0" applyProtection="0"/>
    <xf numFmtId="0" fontId="92" fillId="0" borderId="63" applyNumberFormat="0" applyFill="0" applyAlignment="0" applyProtection="0"/>
    <xf numFmtId="0" fontId="93" fillId="28" borderId="0" applyNumberFormat="0" applyBorder="0" applyAlignment="0" applyProtection="0"/>
    <xf numFmtId="0" fontId="65" fillId="7" borderId="0" applyNumberFormat="0" applyBorder="0" applyAlignment="0" applyProtection="0"/>
    <xf numFmtId="0" fontId="65" fillId="6" borderId="0" applyNumberFormat="0" applyBorder="0" applyAlignment="0" applyProtection="0"/>
    <xf numFmtId="0" fontId="11" fillId="29" borderId="64" applyNumberFormat="0" applyFont="0" applyAlignment="0" applyProtection="0"/>
    <xf numFmtId="0" fontId="95" fillId="24" borderId="65" applyNumberFormat="0" applyAlignment="0" applyProtection="0"/>
    <xf numFmtId="10" fontId="11" fillId="0" borderId="0" applyFont="0" applyFill="0" applyBorder="0" applyAlignment="0" applyProtection="0"/>
    <xf numFmtId="0" fontId="96" fillId="0" borderId="0" applyNumberFormat="0" applyFill="0" applyBorder="0" applyAlignment="0" applyProtection="0"/>
    <xf numFmtId="192" fontId="84" fillId="0" borderId="8">
      <protection locked="0"/>
    </xf>
    <xf numFmtId="0" fontId="97" fillId="0" borderId="0" applyNumberFormat="0" applyFill="0" applyBorder="0" applyAlignment="0" applyProtection="0"/>
    <xf numFmtId="0" fontId="11" fillId="29" borderId="0" applyNumberFormat="0" applyFont="0" applyBorder="0" applyAlignment="0" applyProtection="0"/>
    <xf numFmtId="0" fontId="81" fillId="7" borderId="0" applyNumberFormat="0" applyBorder="0" applyAlignment="0" applyProtection="0"/>
    <xf numFmtId="0" fontId="82" fillId="24" borderId="60" applyNumberFormat="0" applyAlignment="0" applyProtection="0"/>
    <xf numFmtId="0" fontId="83" fillId="25" borderId="61"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3" fontId="11" fillId="0" borderId="0" applyFont="0" applyFill="0" applyBorder="0" applyAlignment="0" applyProtection="0"/>
    <xf numFmtId="164" fontId="11" fillId="0" borderId="0" applyFont="0" applyFill="0" applyBorder="0" applyAlignment="0" applyProtection="0"/>
    <xf numFmtId="195" fontId="11" fillId="0" borderId="0" applyFont="0" applyFill="0" applyBorder="0" applyAlignment="0" applyProtection="0"/>
    <xf numFmtId="0" fontId="85" fillId="0" borderId="0" applyNumberFormat="0" applyFill="0" applyBorder="0" applyAlignment="0" applyProtection="0"/>
    <xf numFmtId="0" fontId="86" fillId="8" borderId="0" applyNumberFormat="0" applyBorder="0" applyAlignment="0" applyProtection="0"/>
    <xf numFmtId="0" fontId="88" fillId="0" borderId="0" applyNumberFormat="0" applyFont="0" applyFill="0" applyAlignment="0" applyProtection="0"/>
    <xf numFmtId="0" fontId="77" fillId="0" borderId="0" applyNumberFormat="0" applyFont="0" applyFill="0" applyAlignment="0" applyProtection="0"/>
    <xf numFmtId="0" fontId="89" fillId="0" borderId="62" applyNumberFormat="0" applyFill="0" applyAlignment="0" applyProtection="0"/>
    <xf numFmtId="0" fontId="89" fillId="0" borderId="0" applyNumberFormat="0" applyFill="0" applyBorder="0" applyAlignment="0" applyProtection="0"/>
    <xf numFmtId="0" fontId="91" fillId="11" borderId="60" applyNumberFormat="0" applyAlignment="0" applyProtection="0"/>
    <xf numFmtId="0" fontId="92" fillId="0" borderId="63" applyNumberFormat="0" applyFill="0" applyAlignment="0" applyProtection="0"/>
    <xf numFmtId="0" fontId="93" fillId="28" borderId="0" applyNumberFormat="0" applyBorder="0" applyAlignment="0" applyProtection="0"/>
    <xf numFmtId="0" fontId="11" fillId="29" borderId="64" applyNumberFormat="0" applyFont="0" applyAlignment="0" applyProtection="0"/>
    <xf numFmtId="0" fontId="95" fillId="24" borderId="65" applyNumberFormat="0" applyAlignment="0" applyProtection="0"/>
    <xf numFmtId="10" fontId="11" fillId="0" borderId="0" applyFont="0" applyFill="0" applyBorder="0" applyAlignment="0" applyProtection="0"/>
    <xf numFmtId="0" fontId="96" fillId="0" borderId="0" applyNumberFormat="0" applyFill="0" applyBorder="0" applyAlignment="0" applyProtection="0"/>
    <xf numFmtId="192" fontId="84" fillId="0" borderId="8">
      <protection locked="0"/>
    </xf>
    <xf numFmtId="0" fontId="97" fillId="0" borderId="0" applyNumberFormat="0" applyFill="0" applyBorder="0" applyAlignment="0" applyProtection="0"/>
    <xf numFmtId="0" fontId="11" fillId="29" borderId="0" applyNumberFormat="0" applyFont="0" applyBorder="0" applyAlignment="0" applyProtection="0"/>
    <xf numFmtId="165"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1" fillId="0" borderId="0" applyFont="0" applyFill="0" applyBorder="0" applyAlignment="0" applyProtection="0"/>
    <xf numFmtId="9" fontId="11" fillId="0" borderId="0" applyFont="0" applyFill="0" applyBorder="0" applyAlignment="0" applyProtection="0"/>
    <xf numFmtId="0" fontId="148" fillId="0" borderId="0"/>
    <xf numFmtId="43" fontId="1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180" fontId="1" fillId="0" borderId="0" applyFont="0" applyFill="0" applyBorder="0" applyAlignment="0" applyProtection="0"/>
    <xf numFmtId="0" fontId="1" fillId="0" borderId="0"/>
    <xf numFmtId="43" fontId="11" fillId="0" borderId="0" applyFont="0" applyFill="0" applyBorder="0" applyAlignment="0" applyProtection="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5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24" borderId="78" applyNumberFormat="0" applyAlignment="0" applyProtection="0"/>
    <xf numFmtId="0" fontId="91" fillId="11" borderId="78" applyNumberFormat="0" applyAlignment="0" applyProtection="0"/>
    <xf numFmtId="0" fontId="96" fillId="0" borderId="0" applyNumberFormat="0" applyFill="0" applyBorder="0" applyAlignment="0" applyProtection="0"/>
    <xf numFmtId="0" fontId="82" fillId="24" borderId="78" applyNumberFormat="0" applyAlignment="0" applyProtection="0"/>
    <xf numFmtId="0" fontId="91" fillId="11" borderId="78" applyNumberFormat="0" applyAlignment="0" applyProtection="0"/>
    <xf numFmtId="0" fontId="82" fillId="53" borderId="78" applyNumberFormat="0" applyAlignment="0" applyProtection="0"/>
    <xf numFmtId="0" fontId="82" fillId="53" borderId="78" applyNumberFormat="0" applyAlignment="0" applyProtection="0"/>
    <xf numFmtId="0" fontId="91" fillId="40" borderId="78" applyNumberFormat="0" applyAlignment="0" applyProtection="0"/>
    <xf numFmtId="0" fontId="91" fillId="40" borderId="78" applyNumberFormat="0" applyAlignment="0" applyProtection="0"/>
    <xf numFmtId="0" fontId="82" fillId="24" borderId="78" applyNumberFormat="0" applyAlignment="0" applyProtection="0"/>
    <xf numFmtId="0" fontId="91" fillId="11" borderId="78" applyNumberFormat="0" applyAlignment="0" applyProtection="0"/>
    <xf numFmtId="0" fontId="82" fillId="24" borderId="78" applyNumberFormat="0" applyAlignment="0" applyProtection="0"/>
    <xf numFmtId="0" fontId="91" fillId="11" borderId="78" applyNumberFormat="0" applyAlignment="0" applyProtection="0"/>
    <xf numFmtId="0" fontId="82" fillId="24" borderId="78" applyNumberFormat="0" applyAlignment="0" applyProtection="0"/>
    <xf numFmtId="0" fontId="91" fillId="11" borderId="78" applyNumberFormat="0" applyAlignment="0" applyProtection="0"/>
    <xf numFmtId="43" fontId="11" fillId="0" borderId="0" applyFont="0" applyFill="0" applyBorder="0" applyAlignment="0" applyProtection="0"/>
    <xf numFmtId="0" fontId="11" fillId="0" borderId="0"/>
    <xf numFmtId="171" fontId="11" fillId="0" borderId="0"/>
  </cellStyleXfs>
  <cellXfs count="1594">
    <xf numFmtId="0" fontId="0" fillId="0" borderId="0" xfId="0"/>
    <xf numFmtId="43" fontId="0" fillId="0" borderId="0" xfId="1" applyFont="1"/>
    <xf numFmtId="49" fontId="5" fillId="0" borderId="2" xfId="0" applyNumberFormat="1" applyFont="1" applyBorder="1" applyAlignment="1">
      <alignment horizontal="left" vertical="top" indent="2"/>
    </xf>
    <xf numFmtId="49" fontId="5" fillId="0" borderId="4" xfId="0" applyNumberFormat="1" applyFont="1" applyBorder="1" applyAlignment="1">
      <alignment horizontal="left" vertical="top" indent="2"/>
    </xf>
    <xf numFmtId="49" fontId="5" fillId="0" borderId="5" xfId="0" applyNumberFormat="1" applyFont="1" applyBorder="1" applyAlignment="1">
      <alignment horizontal="left" vertical="top" indent="2"/>
    </xf>
    <xf numFmtId="49" fontId="6" fillId="0" borderId="6" xfId="0" applyNumberFormat="1" applyFont="1" applyBorder="1" applyAlignment="1">
      <alignment horizontal="center" vertical="top"/>
    </xf>
    <xf numFmtId="43" fontId="0" fillId="0" borderId="0" xfId="1" applyFont="1" applyFill="1" applyBorder="1"/>
    <xf numFmtId="49" fontId="5" fillId="0" borderId="0" xfId="0" applyNumberFormat="1" applyFont="1" applyAlignment="1">
      <alignment vertical="top"/>
    </xf>
    <xf numFmtId="169" fontId="5" fillId="0" borderId="0" xfId="0" applyNumberFormat="1" applyFont="1" applyAlignment="1">
      <alignment horizontal="right" vertical="top"/>
    </xf>
    <xf numFmtId="170" fontId="5" fillId="0" borderId="0" xfId="0" applyNumberFormat="1" applyFont="1" applyAlignment="1">
      <alignment horizontal="right" vertical="top"/>
    </xf>
    <xf numFmtId="49" fontId="6" fillId="0" borderId="0" xfId="0" applyNumberFormat="1" applyFont="1" applyAlignment="1">
      <alignment vertical="top"/>
    </xf>
    <xf numFmtId="170" fontId="6" fillId="0" borderId="0" xfId="0" applyNumberFormat="1" applyFont="1" applyAlignment="1">
      <alignment horizontal="right" vertical="top"/>
    </xf>
    <xf numFmtId="169" fontId="6" fillId="0" borderId="0" xfId="0" applyNumberFormat="1" applyFont="1" applyAlignment="1">
      <alignment horizontal="right" vertical="top"/>
    </xf>
    <xf numFmtId="49" fontId="5" fillId="0" borderId="7" xfId="0" applyNumberFormat="1" applyFont="1" applyBorder="1" applyAlignment="1">
      <alignment horizontal="left" vertical="top" indent="2"/>
    </xf>
    <xf numFmtId="169" fontId="5" fillId="0" borderId="7" xfId="0" applyNumberFormat="1" applyFont="1" applyBorder="1" applyAlignment="1">
      <alignment horizontal="right" vertical="top"/>
    </xf>
    <xf numFmtId="0" fontId="0" fillId="2" borderId="0" xfId="0" applyFill="1"/>
    <xf numFmtId="43" fontId="0" fillId="2" borderId="0" xfId="1" applyFont="1" applyFill="1"/>
    <xf numFmtId="168" fontId="0" fillId="2" borderId="0" xfId="0" applyNumberFormat="1" applyFill="1"/>
    <xf numFmtId="168" fontId="0" fillId="0" borderId="0" xfId="0" applyNumberFormat="1"/>
    <xf numFmtId="0" fontId="0" fillId="0" borderId="0" xfId="0" applyFill="1"/>
    <xf numFmtId="166" fontId="0" fillId="0" borderId="0" xfId="0" applyNumberFormat="1" applyFill="1"/>
    <xf numFmtId="0" fontId="2" fillId="0" borderId="0" xfId="0" applyFont="1" applyFill="1"/>
    <xf numFmtId="166" fontId="2" fillId="0" borderId="0" xfId="0" applyNumberFormat="1" applyFont="1" applyFill="1"/>
    <xf numFmtId="171" fontId="2" fillId="0" borderId="0" xfId="0" applyNumberFormat="1" applyFont="1" applyFill="1"/>
    <xf numFmtId="166" fontId="8" fillId="0" borderId="6" xfId="3" applyNumberFormat="1" applyFont="1" applyFill="1" applyBorder="1" applyAlignment="1">
      <alignment horizontal="left"/>
    </xf>
    <xf numFmtId="166" fontId="8" fillId="0" borderId="4" xfId="1" applyNumberFormat="1" applyFont="1" applyFill="1" applyBorder="1" applyAlignment="1">
      <alignment horizontal="center"/>
    </xf>
    <xf numFmtId="166" fontId="8" fillId="0" borderId="4" xfId="3" applyNumberFormat="1" applyFont="1" applyFill="1" applyBorder="1" applyAlignment="1">
      <alignment horizontal="left"/>
    </xf>
    <xf numFmtId="166" fontId="8" fillId="0" borderId="0" xfId="3" applyNumberFormat="1" applyFont="1" applyFill="1" applyBorder="1" applyAlignment="1">
      <alignment horizontal="left"/>
    </xf>
    <xf numFmtId="166" fontId="9" fillId="0" borderId="0" xfId="3" applyNumberFormat="1" applyFont="1" applyFill="1" applyBorder="1" applyAlignment="1">
      <alignment horizontal="left"/>
    </xf>
    <xf numFmtId="0" fontId="10" fillId="0" borderId="4" xfId="0" applyFont="1" applyFill="1" applyBorder="1" applyAlignment="1">
      <alignment horizontal="left"/>
    </xf>
    <xf numFmtId="0" fontId="10" fillId="2" borderId="4" xfId="0" applyFont="1" applyFill="1" applyBorder="1" applyAlignment="1">
      <alignment horizontal="left"/>
    </xf>
    <xf numFmtId="166" fontId="9" fillId="0" borderId="4" xfId="4" applyNumberFormat="1" applyFont="1" applyFill="1" applyBorder="1"/>
    <xf numFmtId="166" fontId="9" fillId="2" borderId="4" xfId="4" applyNumberFormat="1" applyFont="1" applyFill="1" applyBorder="1"/>
    <xf numFmtId="166" fontId="9" fillId="0" borderId="4" xfId="3" applyNumberFormat="1" applyFont="1" applyFill="1" applyBorder="1" applyAlignment="1">
      <alignment horizontal="left"/>
    </xf>
    <xf numFmtId="49" fontId="6" fillId="0" borderId="4" xfId="0" applyNumberFormat="1" applyFont="1" applyFill="1" applyBorder="1" applyAlignment="1">
      <alignment vertical="top"/>
    </xf>
    <xf numFmtId="0" fontId="10" fillId="0" borderId="0" xfId="0" applyFont="1" applyFill="1"/>
    <xf numFmtId="166" fontId="9" fillId="2" borderId="4" xfId="3" applyNumberFormat="1" applyFont="1" applyFill="1" applyBorder="1" applyAlignment="1">
      <alignment horizontal="left"/>
    </xf>
    <xf numFmtId="166" fontId="9" fillId="0" borderId="0" xfId="4" applyNumberFormat="1" applyFont="1" applyFill="1" applyBorder="1" applyAlignment="1">
      <alignment horizontal="left"/>
    </xf>
    <xf numFmtId="166" fontId="10" fillId="0" borderId="4" xfId="0" applyNumberFormat="1" applyFont="1" applyFill="1" applyBorder="1" applyAlignment="1">
      <alignment vertical="top"/>
    </xf>
    <xf numFmtId="166" fontId="10" fillId="2" borderId="4" xfId="0" applyNumberFormat="1" applyFont="1" applyFill="1" applyBorder="1" applyAlignment="1">
      <alignment vertical="top"/>
    </xf>
    <xf numFmtId="166" fontId="9" fillId="0" borderId="4" xfId="4" applyNumberFormat="1" applyFont="1" applyFill="1" applyBorder="1" applyAlignment="1">
      <alignment horizontal="left"/>
    </xf>
    <xf numFmtId="166" fontId="10" fillId="0" borderId="0" xfId="0" applyNumberFormat="1" applyFont="1" applyFill="1" applyBorder="1" applyAlignment="1">
      <alignment vertical="top"/>
    </xf>
    <xf numFmtId="0" fontId="10" fillId="0" borderId="0" xfId="0" applyFont="1" applyFill="1" applyBorder="1" applyAlignment="1">
      <alignment horizontal="left"/>
    </xf>
    <xf numFmtId="0" fontId="10" fillId="0" borderId="0" xfId="0" applyFont="1" applyFill="1" applyAlignment="1">
      <alignment horizontal="left"/>
    </xf>
    <xf numFmtId="0" fontId="12" fillId="0" borderId="0" xfId="0" applyFont="1" applyFill="1"/>
    <xf numFmtId="49" fontId="10" fillId="0" borderId="4" xfId="0" applyNumberFormat="1" applyFont="1" applyFill="1" applyBorder="1" applyAlignment="1">
      <alignment vertical="top"/>
    </xf>
    <xf numFmtId="166" fontId="9" fillId="0" borderId="0" xfId="1" applyNumberFormat="1" applyFont="1" applyFill="1" applyBorder="1" applyAlignment="1">
      <alignment horizontal="left"/>
    </xf>
    <xf numFmtId="166" fontId="13" fillId="0" borderId="0" xfId="5" applyNumberFormat="1" applyFont="1" applyFill="1" applyBorder="1" applyAlignment="1">
      <alignment vertical="top"/>
    </xf>
    <xf numFmtId="49" fontId="6" fillId="0" borderId="0" xfId="0" applyNumberFormat="1" applyFont="1" applyFill="1" applyBorder="1" applyAlignment="1">
      <alignment vertical="top"/>
    </xf>
    <xf numFmtId="166" fontId="9" fillId="2" borderId="0" xfId="3" applyNumberFormat="1" applyFont="1" applyFill="1" applyBorder="1" applyAlignment="1">
      <alignment horizontal="left"/>
    </xf>
    <xf numFmtId="166" fontId="10" fillId="0" borderId="0" xfId="0" applyNumberFormat="1" applyFont="1" applyFill="1"/>
    <xf numFmtId="166" fontId="10" fillId="2" borderId="0" xfId="0" applyNumberFormat="1" applyFont="1" applyFill="1" applyBorder="1" applyAlignment="1">
      <alignment vertical="top"/>
    </xf>
    <xf numFmtId="49" fontId="10" fillId="0" borderId="0" xfId="0" applyNumberFormat="1" applyFont="1" applyFill="1" applyBorder="1" applyAlignment="1">
      <alignment vertical="top"/>
    </xf>
    <xf numFmtId="49" fontId="10" fillId="2" borderId="0" xfId="0" applyNumberFormat="1" applyFont="1" applyFill="1" applyBorder="1" applyAlignment="1">
      <alignment vertical="top"/>
    </xf>
    <xf numFmtId="0" fontId="0" fillId="0" borderId="0" xfId="0" applyFill="1" applyBorder="1" applyAlignment="1">
      <alignment horizontal="left"/>
    </xf>
    <xf numFmtId="0" fontId="0" fillId="2" borderId="0" xfId="0" applyFill="1" applyBorder="1" applyAlignment="1">
      <alignment horizontal="left"/>
    </xf>
    <xf numFmtId="166" fontId="9" fillId="0" borderId="0" xfId="4" applyNumberFormat="1" applyFont="1" applyFill="1" applyBorder="1"/>
    <xf numFmtId="171" fontId="10" fillId="0" borderId="0" xfId="0" applyNumberFormat="1" applyFont="1" applyFill="1"/>
    <xf numFmtId="49" fontId="6" fillId="2" borderId="0" xfId="0" applyNumberFormat="1" applyFont="1" applyFill="1" applyBorder="1" applyAlignment="1">
      <alignment vertical="top"/>
    </xf>
    <xf numFmtId="166" fontId="13" fillId="0" borderId="4" xfId="0" applyNumberFormat="1" applyFont="1" applyFill="1" applyBorder="1"/>
    <xf numFmtId="49" fontId="6" fillId="2" borderId="4" xfId="0" applyNumberFormat="1" applyFont="1" applyFill="1" applyBorder="1" applyAlignment="1">
      <alignment vertical="top"/>
    </xf>
    <xf numFmtId="166" fontId="8" fillId="0" borderId="8" xfId="4" applyNumberFormat="1" applyFont="1" applyFill="1" applyBorder="1"/>
    <xf numFmtId="171" fontId="2" fillId="0" borderId="8" xfId="1" applyNumberFormat="1" applyFont="1" applyFill="1" applyBorder="1"/>
    <xf numFmtId="0" fontId="2" fillId="0" borderId="0" xfId="0" applyFont="1" applyFill="1" applyBorder="1"/>
    <xf numFmtId="166" fontId="9" fillId="0" borderId="0" xfId="4" applyNumberFormat="1" applyFont="1" applyFill="1" applyBorder="1" applyAlignment="1"/>
    <xf numFmtId="0" fontId="0" fillId="0" borderId="0" xfId="0" applyFill="1" applyBorder="1"/>
    <xf numFmtId="43" fontId="9" fillId="0" borderId="0" xfId="3" applyNumberFormat="1" applyFont="1" applyFill="1" applyBorder="1" applyAlignment="1">
      <alignment horizontal="left"/>
    </xf>
    <xf numFmtId="0" fontId="10" fillId="2" borderId="0" xfId="0" applyFont="1" applyFill="1" applyBorder="1" applyAlignment="1">
      <alignment horizontal="left"/>
    </xf>
    <xf numFmtId="166" fontId="9" fillId="2" borderId="0" xfId="4" applyNumberFormat="1" applyFont="1" applyFill="1" applyBorder="1"/>
    <xf numFmtId="173" fontId="15" fillId="0" borderId="12" xfId="1" applyNumberFormat="1" applyFont="1" applyFill="1" applyBorder="1" applyAlignment="1">
      <alignment horizontal="center" vertical="center" wrapText="1"/>
    </xf>
    <xf numFmtId="171" fontId="15" fillId="0" borderId="13" xfId="1" applyNumberFormat="1" applyFont="1" applyFill="1" applyBorder="1" applyAlignment="1">
      <alignment horizontal="center"/>
    </xf>
    <xf numFmtId="0" fontId="15" fillId="0" borderId="4" xfId="0" applyFont="1" applyFill="1" applyBorder="1" applyAlignment="1">
      <alignment vertical="top" wrapText="1"/>
    </xf>
    <xf numFmtId="0" fontId="14" fillId="0" borderId="4" xfId="0" applyFont="1" applyFill="1" applyBorder="1" applyAlignment="1">
      <alignment vertical="top"/>
    </xf>
    <xf numFmtId="0" fontId="14" fillId="0" borderId="4" xfId="0" applyFont="1" applyFill="1" applyBorder="1" applyAlignment="1">
      <alignment vertical="top" wrapText="1"/>
    </xf>
    <xf numFmtId="0" fontId="14" fillId="0" borderId="4" xfId="0" applyFont="1" applyFill="1" applyBorder="1" applyAlignment="1">
      <alignment vertical="center" wrapText="1"/>
    </xf>
    <xf numFmtId="0" fontId="14" fillId="0" borderId="4" xfId="0" applyFont="1" applyFill="1" applyBorder="1" applyAlignment="1">
      <alignment horizontal="left" vertical="top"/>
    </xf>
    <xf numFmtId="0" fontId="15" fillId="0" borderId="4" xfId="0" applyFont="1" applyFill="1" applyBorder="1" applyAlignment="1">
      <alignment vertical="center" wrapText="1"/>
    </xf>
    <xf numFmtId="43" fontId="0" fillId="0" borderId="0" xfId="0" applyNumberFormat="1"/>
    <xf numFmtId="0" fontId="2" fillId="0" borderId="0" xfId="0" applyFont="1"/>
    <xf numFmtId="174" fontId="0" fillId="0" borderId="0" xfId="9" applyNumberFormat="1" applyFont="1"/>
    <xf numFmtId="168" fontId="2" fillId="0" borderId="0" xfId="9" applyFont="1" applyAlignment="1">
      <alignment horizontal="center"/>
    </xf>
    <xf numFmtId="0" fontId="2" fillId="2" borderId="15" xfId="0" applyFont="1" applyFill="1" applyBorder="1" applyAlignment="1">
      <alignment horizontal="center"/>
    </xf>
    <xf numFmtId="0" fontId="2" fillId="0" borderId="6" xfId="0" applyFont="1" applyBorder="1" applyAlignment="1">
      <alignment horizontal="center"/>
    </xf>
    <xf numFmtId="168" fontId="2" fillId="0" borderId="6" xfId="9" applyFont="1" applyBorder="1" applyAlignment="1">
      <alignment horizontal="center"/>
    </xf>
    <xf numFmtId="0" fontId="0" fillId="0" borderId="6" xfId="0" applyBorder="1"/>
    <xf numFmtId="168" fontId="0" fillId="0" borderId="6" xfId="9" applyFont="1" applyBorder="1"/>
    <xf numFmtId="174" fontId="0" fillId="0" borderId="6" xfId="9" applyNumberFormat="1" applyFont="1" applyBorder="1"/>
    <xf numFmtId="168" fontId="2" fillId="0" borderId="25" xfId="9" applyFont="1" applyBorder="1"/>
    <xf numFmtId="168" fontId="0" fillId="0" borderId="0" xfId="9" applyFont="1"/>
    <xf numFmtId="0" fontId="2" fillId="0" borderId="6" xfId="0" applyFont="1" applyBorder="1"/>
    <xf numFmtId="168" fontId="2" fillId="0" borderId="15" xfId="9" applyFont="1" applyBorder="1" applyAlignment="1">
      <alignment horizontal="center"/>
    </xf>
    <xf numFmtId="0" fontId="2" fillId="0" borderId="15" xfId="0" applyFont="1" applyBorder="1" applyAlignment="1">
      <alignment horizontal="center"/>
    </xf>
    <xf numFmtId="0" fontId="2" fillId="0" borderId="14" xfId="0" applyFont="1" applyFill="1" applyBorder="1" applyAlignment="1">
      <alignment horizontal="center"/>
    </xf>
    <xf numFmtId="0" fontId="2" fillId="0" borderId="0" xfId="0" applyFont="1" applyFill="1" applyBorder="1" applyAlignment="1">
      <alignment horizontal="center"/>
    </xf>
    <xf numFmtId="174" fontId="0" fillId="0" borderId="14" xfId="9" applyNumberFormat="1" applyFont="1" applyBorder="1"/>
    <xf numFmtId="174" fontId="2" fillId="0" borderId="0" xfId="9" applyNumberFormat="1" applyFont="1"/>
    <xf numFmtId="168" fontId="19" fillId="0" borderId="0" xfId="10" applyFont="1"/>
    <xf numFmtId="168" fontId="19" fillId="0" borderId="0" xfId="10" applyFont="1" applyFill="1"/>
    <xf numFmtId="168" fontId="19" fillId="0" borderId="0" xfId="10" applyFont="1" applyBorder="1"/>
    <xf numFmtId="168" fontId="19" fillId="0" borderId="0" xfId="10" applyFont="1" applyFill="1" applyBorder="1"/>
    <xf numFmtId="177" fontId="21" fillId="0" borderId="0" xfId="10" applyNumberFormat="1" applyFont="1" applyBorder="1" applyAlignment="1">
      <alignment horizontal="center" vertical="top"/>
    </xf>
    <xf numFmtId="168" fontId="23" fillId="0" borderId="32" xfId="10" applyFont="1" applyBorder="1" applyAlignment="1"/>
    <xf numFmtId="168" fontId="23" fillId="0" borderId="33" xfId="10" applyFont="1" applyBorder="1" applyAlignment="1"/>
    <xf numFmtId="168" fontId="23" fillId="0" borderId="34" xfId="10" applyFont="1" applyFill="1" applyBorder="1" applyAlignment="1"/>
    <xf numFmtId="168" fontId="23" fillId="0" borderId="33" xfId="10" applyFont="1" applyBorder="1" applyAlignment="1">
      <alignment horizontal="center"/>
    </xf>
    <xf numFmtId="168" fontId="23" fillId="0" borderId="35" xfId="10" applyFont="1" applyBorder="1" applyAlignment="1"/>
    <xf numFmtId="168" fontId="23" fillId="0" borderId="34" xfId="10" applyFont="1" applyBorder="1" applyAlignment="1"/>
    <xf numFmtId="177" fontId="23" fillId="0" borderId="32" xfId="10" applyNumberFormat="1" applyFont="1" applyBorder="1" applyAlignment="1"/>
    <xf numFmtId="168" fontId="24" fillId="0" borderId="36" xfId="10" applyFont="1" applyBorder="1" applyAlignment="1">
      <alignment vertical="center"/>
    </xf>
    <xf numFmtId="168" fontId="25" fillId="0" borderId="5" xfId="10" applyFont="1" applyBorder="1" applyAlignment="1">
      <alignment vertical="center"/>
    </xf>
    <xf numFmtId="168" fontId="25" fillId="0" borderId="36" xfId="10" applyFont="1" applyBorder="1" applyAlignment="1">
      <alignment vertical="center"/>
    </xf>
    <xf numFmtId="168" fontId="25" fillId="0" borderId="13" xfId="10" applyFont="1" applyBorder="1" applyAlignment="1">
      <alignment vertical="center"/>
    </xf>
    <xf numFmtId="174" fontId="25" fillId="0" borderId="37" xfId="10" applyNumberFormat="1" applyFont="1" applyBorder="1" applyAlignment="1">
      <alignment vertical="center"/>
    </xf>
    <xf numFmtId="177" fontId="25" fillId="0" borderId="36" xfId="10" applyNumberFormat="1" applyFont="1" applyBorder="1" applyAlignment="1">
      <alignment vertical="center"/>
    </xf>
    <xf numFmtId="168" fontId="24" fillId="0" borderId="13" xfId="10" applyFont="1" applyBorder="1" applyAlignment="1">
      <alignment vertical="center"/>
    </xf>
    <xf numFmtId="168" fontId="24" fillId="0" borderId="5" xfId="10" applyFont="1" applyBorder="1" applyAlignment="1">
      <alignment vertical="center"/>
    </xf>
    <xf numFmtId="168" fontId="25" fillId="0" borderId="38" xfId="10" applyFont="1" applyBorder="1" applyAlignment="1">
      <alignment vertical="center"/>
    </xf>
    <xf numFmtId="177" fontId="19" fillId="0" borderId="36" xfId="10" applyNumberFormat="1" applyFont="1" applyBorder="1" applyAlignment="1">
      <alignment vertical="center"/>
    </xf>
    <xf numFmtId="168" fontId="24" fillId="0" borderId="0" xfId="10" applyFont="1" applyAlignment="1">
      <alignment vertical="top"/>
    </xf>
    <xf numFmtId="168" fontId="24" fillId="0" borderId="0" xfId="10" applyFont="1" applyFill="1" applyAlignment="1">
      <alignment vertical="top"/>
    </xf>
    <xf numFmtId="168" fontId="24" fillId="0" borderId="38" xfId="10" applyFont="1" applyBorder="1" applyAlignment="1">
      <alignment vertical="center"/>
    </xf>
    <xf numFmtId="168" fontId="23" fillId="0" borderId="26" xfId="10" applyFont="1" applyBorder="1" applyAlignment="1">
      <alignment horizontal="right" vertical="center"/>
    </xf>
    <xf numFmtId="168" fontId="23" fillId="0" borderId="38" xfId="10" applyFont="1" applyFill="1" applyBorder="1" applyAlignment="1">
      <alignment vertical="center"/>
    </xf>
    <xf numFmtId="168" fontId="23" fillId="0" borderId="6" xfId="10" applyFont="1" applyBorder="1" applyAlignment="1">
      <alignment vertical="center"/>
    </xf>
    <xf numFmtId="174" fontId="23" fillId="0" borderId="37" xfId="10" applyNumberFormat="1" applyFont="1" applyBorder="1" applyAlignment="1">
      <alignment vertical="center"/>
    </xf>
    <xf numFmtId="177" fontId="23" fillId="0" borderId="36" xfId="10" applyNumberFormat="1" applyFont="1" applyBorder="1" applyAlignment="1">
      <alignment vertical="center"/>
    </xf>
    <xf numFmtId="168" fontId="26" fillId="0" borderId="6" xfId="10" applyFont="1" applyFill="1" applyBorder="1" applyAlignment="1">
      <alignment vertical="center"/>
    </xf>
    <xf numFmtId="168" fontId="26" fillId="0" borderId="26" xfId="10" applyFont="1" applyFill="1" applyBorder="1" applyAlignment="1">
      <alignment vertical="center"/>
    </xf>
    <xf numFmtId="174" fontId="27" fillId="0" borderId="38" xfId="10" applyNumberFormat="1" applyFont="1" applyFill="1" applyBorder="1" applyAlignment="1">
      <alignment vertical="center"/>
    </xf>
    <xf numFmtId="177" fontId="27" fillId="0" borderId="38" xfId="10" applyNumberFormat="1" applyFont="1" applyFill="1" applyBorder="1" applyAlignment="1">
      <alignment vertical="center"/>
    </xf>
    <xf numFmtId="168" fontId="27" fillId="0" borderId="6" xfId="10" applyFont="1" applyFill="1" applyBorder="1" applyAlignment="1">
      <alignment vertical="center"/>
    </xf>
    <xf numFmtId="168" fontId="23" fillId="0" borderId="6" xfId="10" applyFont="1" applyFill="1" applyBorder="1" applyAlignment="1">
      <alignment vertical="center"/>
    </xf>
    <xf numFmtId="174" fontId="23" fillId="0" borderId="39" xfId="10" applyNumberFormat="1" applyFont="1" applyFill="1" applyBorder="1" applyAlignment="1">
      <alignment vertical="center"/>
    </xf>
    <xf numFmtId="168" fontId="25" fillId="0" borderId="26" xfId="10" applyFont="1" applyBorder="1" applyAlignment="1">
      <alignment vertical="center"/>
    </xf>
    <xf numFmtId="168" fontId="25" fillId="0" borderId="38" xfId="10" applyFont="1" applyFill="1" applyBorder="1" applyAlignment="1">
      <alignment vertical="center"/>
    </xf>
    <xf numFmtId="168" fontId="25" fillId="0" borderId="6" xfId="10" applyFont="1" applyBorder="1" applyAlignment="1">
      <alignment vertical="center"/>
    </xf>
    <xf numFmtId="168" fontId="24" fillId="0" borderId="6" xfId="10" applyFont="1" applyFill="1" applyBorder="1" applyAlignment="1">
      <alignment vertical="center"/>
    </xf>
    <xf numFmtId="168" fontId="24" fillId="0" borderId="26" xfId="10" applyFont="1" applyFill="1" applyBorder="1" applyAlignment="1">
      <alignment vertical="center"/>
    </xf>
    <xf numFmtId="168" fontId="25" fillId="0" borderId="40" xfId="10" applyFont="1" applyFill="1" applyBorder="1" applyAlignment="1">
      <alignment vertical="center"/>
    </xf>
    <xf numFmtId="177" fontId="24" fillId="0" borderId="38" xfId="10" applyNumberFormat="1" applyFont="1" applyFill="1" applyBorder="1" applyAlignment="1">
      <alignment vertical="center"/>
    </xf>
    <xf numFmtId="168" fontId="24" fillId="0" borderId="40" xfId="10" applyFont="1" applyFill="1" applyBorder="1" applyAlignment="1">
      <alignment vertical="center"/>
    </xf>
    <xf numFmtId="177" fontId="25" fillId="0" borderId="38" xfId="10" applyNumberFormat="1" applyFont="1" applyFill="1" applyBorder="1" applyAlignment="1">
      <alignment vertical="center"/>
    </xf>
    <xf numFmtId="168" fontId="25" fillId="0" borderId="6" xfId="10" applyFont="1" applyFill="1" applyBorder="1" applyAlignment="1">
      <alignment vertical="center"/>
    </xf>
    <xf numFmtId="168" fontId="28" fillId="0" borderId="26" xfId="10" applyFont="1" applyBorder="1" applyAlignment="1">
      <alignment vertical="center"/>
    </xf>
    <xf numFmtId="168" fontId="25" fillId="3" borderId="40" xfId="10" applyFont="1" applyFill="1" applyBorder="1" applyAlignment="1">
      <alignment vertical="center"/>
    </xf>
    <xf numFmtId="168" fontId="25" fillId="0" borderId="40" xfId="10" applyFont="1" applyBorder="1" applyAlignment="1">
      <alignment vertical="center"/>
    </xf>
    <xf numFmtId="168" fontId="19" fillId="0" borderId="13" xfId="10" applyFont="1" applyBorder="1" applyAlignment="1">
      <alignment vertical="center"/>
    </xf>
    <xf numFmtId="174" fontId="19" fillId="0" borderId="40" xfId="10" applyNumberFormat="1" applyFont="1" applyFill="1" applyBorder="1" applyAlignment="1">
      <alignment vertical="center"/>
    </xf>
    <xf numFmtId="168" fontId="29" fillId="0" borderId="40" xfId="10" applyFont="1" applyFill="1" applyBorder="1" applyAlignment="1">
      <alignment vertical="center"/>
    </xf>
    <xf numFmtId="168" fontId="30" fillId="0" borderId="38" xfId="10" applyFont="1" applyFill="1" applyBorder="1" applyAlignment="1">
      <alignment vertical="center"/>
    </xf>
    <xf numFmtId="168" fontId="31" fillId="0" borderId="6" xfId="10" applyFont="1" applyFill="1" applyBorder="1" applyAlignment="1">
      <alignment vertical="center"/>
    </xf>
    <xf numFmtId="168" fontId="31" fillId="0" borderId="26" xfId="10" applyFont="1" applyFill="1" applyBorder="1" applyAlignment="1">
      <alignment vertical="center"/>
    </xf>
    <xf numFmtId="168" fontId="30" fillId="0" borderId="40" xfId="10" applyFont="1" applyFill="1" applyBorder="1" applyAlignment="1">
      <alignment vertical="center"/>
    </xf>
    <xf numFmtId="177" fontId="31" fillId="0" borderId="38" xfId="10" applyNumberFormat="1" applyFont="1" applyFill="1" applyBorder="1" applyAlignment="1">
      <alignment vertical="center"/>
    </xf>
    <xf numFmtId="168" fontId="31" fillId="0" borderId="40" xfId="10" applyFont="1" applyFill="1" applyBorder="1" applyAlignment="1">
      <alignment vertical="center"/>
    </xf>
    <xf numFmtId="177" fontId="19" fillId="0" borderId="38" xfId="10" applyNumberFormat="1" applyFont="1" applyFill="1" applyBorder="1" applyAlignment="1">
      <alignment vertical="center"/>
    </xf>
    <xf numFmtId="174" fontId="25" fillId="0" borderId="40" xfId="10" applyNumberFormat="1" applyFont="1" applyFill="1" applyBorder="1" applyAlignment="1">
      <alignment vertical="center"/>
    </xf>
    <xf numFmtId="168" fontId="29" fillId="0" borderId="37" xfId="10" applyFont="1" applyFill="1" applyBorder="1" applyAlignment="1">
      <alignment vertical="center"/>
    </xf>
    <xf numFmtId="168" fontId="31" fillId="0" borderId="5" xfId="10" applyFont="1" applyFill="1" applyBorder="1" applyAlignment="1">
      <alignment vertical="center"/>
    </xf>
    <xf numFmtId="168" fontId="30" fillId="0" borderId="37" xfId="10" applyFont="1" applyFill="1" applyBorder="1" applyAlignment="1">
      <alignment vertical="center"/>
    </xf>
    <xf numFmtId="168" fontId="31" fillId="0" borderId="25" xfId="10" applyFont="1" applyFill="1" applyBorder="1" applyAlignment="1">
      <alignment vertical="center"/>
    </xf>
    <xf numFmtId="168" fontId="31" fillId="0" borderId="37" xfId="10" applyFont="1" applyFill="1" applyBorder="1" applyAlignment="1">
      <alignment vertical="center"/>
    </xf>
    <xf numFmtId="174" fontId="25" fillId="0" borderId="37" xfId="10" applyNumberFormat="1" applyFont="1" applyFill="1" applyBorder="1" applyAlignment="1">
      <alignment vertical="center"/>
    </xf>
    <xf numFmtId="168" fontId="32" fillId="0" borderId="38" xfId="10" applyFont="1" applyBorder="1" applyAlignment="1">
      <alignment vertical="center"/>
    </xf>
    <xf numFmtId="168" fontId="23" fillId="0" borderId="26" xfId="10" applyFont="1" applyBorder="1" applyAlignment="1">
      <alignment vertical="center"/>
    </xf>
    <xf numFmtId="177" fontId="29" fillId="0" borderId="38" xfId="10" applyNumberFormat="1" applyFont="1" applyFill="1" applyBorder="1" applyAlignment="1">
      <alignment vertical="center"/>
    </xf>
    <xf numFmtId="168" fontId="33" fillId="0" borderId="6" xfId="10" applyFont="1" applyBorder="1" applyAlignment="1">
      <alignment vertical="center"/>
    </xf>
    <xf numFmtId="168" fontId="33" fillId="0" borderId="26" xfId="10" applyFont="1" applyBorder="1" applyAlignment="1">
      <alignment vertical="center"/>
    </xf>
    <xf numFmtId="168" fontId="23" fillId="0" borderId="5" xfId="10" applyFont="1" applyBorder="1" applyAlignment="1">
      <alignment vertical="center"/>
    </xf>
    <xf numFmtId="177" fontId="23" fillId="0" borderId="38" xfId="10" applyNumberFormat="1" applyFont="1" applyBorder="1" applyAlignment="1">
      <alignment vertical="center"/>
    </xf>
    <xf numFmtId="168" fontId="23" fillId="0" borderId="38" xfId="10" applyFont="1" applyBorder="1" applyAlignment="1">
      <alignment vertical="center"/>
    </xf>
    <xf numFmtId="168" fontId="32" fillId="0" borderId="0" xfId="10" applyFont="1" applyAlignment="1">
      <alignment vertical="top"/>
    </xf>
    <xf numFmtId="177" fontId="30" fillId="0" borderId="38" xfId="10" applyNumberFormat="1" applyFont="1" applyFill="1" applyBorder="1" applyAlignment="1">
      <alignment vertical="center"/>
    </xf>
    <xf numFmtId="168" fontId="30" fillId="0" borderId="6" xfId="10" applyFont="1" applyFill="1" applyBorder="1" applyAlignment="1">
      <alignment vertical="center"/>
    </xf>
    <xf numFmtId="168" fontId="23" fillId="0" borderId="40" xfId="10" applyFont="1" applyBorder="1" applyAlignment="1">
      <alignment vertical="center"/>
    </xf>
    <xf numFmtId="177" fontId="23" fillId="0" borderId="38" xfId="10" applyNumberFormat="1" applyFont="1" applyFill="1" applyBorder="1" applyAlignment="1">
      <alignment vertical="center"/>
    </xf>
    <xf numFmtId="174" fontId="23" fillId="0" borderId="40" xfId="10" applyNumberFormat="1" applyFont="1" applyBorder="1" applyAlignment="1">
      <alignment vertical="center"/>
    </xf>
    <xf numFmtId="174" fontId="30" fillId="0" borderId="40" xfId="10" applyNumberFormat="1" applyFont="1" applyFill="1" applyBorder="1" applyAlignment="1">
      <alignment vertical="center"/>
    </xf>
    <xf numFmtId="168" fontId="26" fillId="0" borderId="38" xfId="10" applyFont="1" applyBorder="1" applyAlignment="1">
      <alignment vertical="center"/>
    </xf>
    <xf numFmtId="168" fontId="26" fillId="0" borderId="26" xfId="10" applyFont="1" applyBorder="1" applyAlignment="1">
      <alignment horizontal="right" vertical="center"/>
    </xf>
    <xf numFmtId="168" fontId="34" fillId="0" borderId="26" xfId="10" applyFont="1" applyFill="1" applyBorder="1" applyAlignment="1">
      <alignment vertical="center"/>
    </xf>
    <xf numFmtId="168" fontId="26" fillId="0" borderId="0" xfId="10" applyFont="1" applyFill="1" applyAlignment="1">
      <alignment vertical="top"/>
    </xf>
    <xf numFmtId="168" fontId="26" fillId="0" borderId="0" xfId="10" applyFont="1" applyAlignment="1">
      <alignment vertical="top"/>
    </xf>
    <xf numFmtId="168" fontId="26" fillId="0" borderId="6" xfId="10" applyFont="1" applyBorder="1" applyAlignment="1">
      <alignment vertical="center"/>
    </xf>
    <xf numFmtId="168" fontId="26" fillId="0" borderId="26" xfId="10" applyFont="1" applyBorder="1" applyAlignment="1">
      <alignment vertical="center"/>
    </xf>
    <xf numFmtId="177" fontId="26" fillId="0" borderId="38" xfId="10" applyNumberFormat="1" applyFont="1" applyBorder="1" applyAlignment="1">
      <alignment vertical="center"/>
    </xf>
    <xf numFmtId="168" fontId="35" fillId="0" borderId="6" xfId="10" applyFont="1" applyFill="1" applyBorder="1" applyAlignment="1">
      <alignment vertical="center"/>
    </xf>
    <xf numFmtId="168" fontId="37" fillId="0" borderId="40" xfId="11" applyNumberFormat="1" applyFont="1" applyBorder="1" applyAlignment="1">
      <alignment vertical="center"/>
    </xf>
    <xf numFmtId="168" fontId="19" fillId="0" borderId="38" xfId="10" applyFont="1" applyBorder="1" applyAlignment="1">
      <alignment vertical="center"/>
    </xf>
    <xf numFmtId="168" fontId="27" fillId="0" borderId="26" xfId="10" applyFont="1" applyBorder="1" applyAlignment="1">
      <alignment vertical="center"/>
    </xf>
    <xf numFmtId="177" fontId="23" fillId="0" borderId="41" xfId="10" applyNumberFormat="1" applyFont="1" applyBorder="1" applyAlignment="1">
      <alignment vertical="center"/>
    </xf>
    <xf numFmtId="177" fontId="23" fillId="0" borderId="40" xfId="10" applyNumberFormat="1" applyFont="1" applyBorder="1" applyAlignment="1">
      <alignment vertical="center"/>
    </xf>
    <xf numFmtId="168" fontId="27" fillId="0" borderId="6" xfId="10" applyFont="1" applyBorder="1" applyAlignment="1">
      <alignment vertical="center"/>
    </xf>
    <xf numFmtId="177" fontId="27" fillId="0" borderId="40" xfId="10" applyNumberFormat="1" applyFont="1" applyBorder="1" applyAlignment="1">
      <alignment vertical="center"/>
    </xf>
    <xf numFmtId="174" fontId="27" fillId="0" borderId="40" xfId="10" applyNumberFormat="1" applyFont="1" applyFill="1" applyBorder="1" applyAlignment="1">
      <alignment vertical="center"/>
    </xf>
    <xf numFmtId="168" fontId="19" fillId="0" borderId="0" xfId="10" applyFont="1" applyFill="1" applyAlignment="1">
      <alignment vertical="top"/>
    </xf>
    <xf numFmtId="168" fontId="19" fillId="0" borderId="0" xfId="10" applyFont="1" applyAlignment="1">
      <alignment vertical="top"/>
    </xf>
    <xf numFmtId="168" fontId="19" fillId="0" borderId="26" xfId="10" applyFont="1" applyBorder="1" applyAlignment="1">
      <alignment vertical="center"/>
    </xf>
    <xf numFmtId="168" fontId="19" fillId="0" borderId="6" xfId="10" applyFont="1" applyFill="1" applyBorder="1" applyAlignment="1">
      <alignment vertical="center"/>
    </xf>
    <xf numFmtId="168" fontId="19" fillId="0" borderId="26" xfId="10" applyFont="1" applyFill="1" applyBorder="1" applyAlignment="1">
      <alignment vertical="center"/>
    </xf>
    <xf numFmtId="168" fontId="19" fillId="0" borderId="40" xfId="10" applyFont="1" applyFill="1" applyBorder="1" applyAlignment="1">
      <alignment vertical="center"/>
    </xf>
    <xf numFmtId="168" fontId="0" fillId="0" borderId="38" xfId="10" applyFont="1" applyBorder="1" applyAlignment="1">
      <alignment vertical="center"/>
    </xf>
    <xf numFmtId="174" fontId="25" fillId="0" borderId="40" xfId="10" applyNumberFormat="1" applyFont="1" applyBorder="1" applyAlignment="1">
      <alignment vertical="center"/>
    </xf>
    <xf numFmtId="168" fontId="0" fillId="0" borderId="26" xfId="10" applyFont="1" applyBorder="1" applyAlignment="1">
      <alignment vertical="center"/>
    </xf>
    <xf numFmtId="168" fontId="23" fillId="0" borderId="40" xfId="10" applyFont="1" applyFill="1" applyBorder="1" applyAlignment="1">
      <alignment vertical="center"/>
    </xf>
    <xf numFmtId="168" fontId="25" fillId="0" borderId="37" xfId="10" applyFont="1" applyBorder="1" applyAlignment="1">
      <alignment vertical="center"/>
    </xf>
    <xf numFmtId="168" fontId="25" fillId="0" borderId="25" xfId="10" applyFont="1" applyFill="1" applyBorder="1" applyAlignment="1">
      <alignment vertical="center"/>
    </xf>
    <xf numFmtId="168" fontId="0" fillId="0" borderId="6" xfId="10" applyFont="1" applyFill="1" applyBorder="1" applyAlignment="1">
      <alignment vertical="center"/>
    </xf>
    <xf numFmtId="168" fontId="0" fillId="0" borderId="26" xfId="10" applyFont="1" applyFill="1" applyBorder="1" applyAlignment="1">
      <alignment vertical="center"/>
    </xf>
    <xf numFmtId="168" fontId="23" fillId="0" borderId="42" xfId="10" applyFont="1" applyFill="1" applyBorder="1" applyAlignment="1">
      <alignment vertical="center"/>
    </xf>
    <xf numFmtId="168" fontId="23" fillId="0" borderId="26" xfId="10" applyFont="1" applyFill="1" applyBorder="1" applyAlignment="1">
      <alignment vertical="center"/>
    </xf>
    <xf numFmtId="177" fontId="23" fillId="0" borderId="42" xfId="10" applyNumberFormat="1" applyFont="1" applyFill="1" applyBorder="1" applyAlignment="1">
      <alignment vertical="center"/>
    </xf>
    <xf numFmtId="174" fontId="23" fillId="0" borderId="40" xfId="10" applyNumberFormat="1" applyFont="1" applyFill="1" applyBorder="1" applyAlignment="1">
      <alignment vertical="center"/>
    </xf>
    <xf numFmtId="174" fontId="23" fillId="0" borderId="0" xfId="10" applyNumberFormat="1" applyFont="1" applyFill="1" applyBorder="1" applyAlignment="1">
      <alignment vertical="top"/>
    </xf>
    <xf numFmtId="174" fontId="29" fillId="0" borderId="40" xfId="10" applyNumberFormat="1" applyFont="1" applyFill="1" applyBorder="1" applyAlignment="1">
      <alignment vertical="center"/>
    </xf>
    <xf numFmtId="168" fontId="19" fillId="0" borderId="5" xfId="10" applyFont="1" applyFill="1" applyBorder="1" applyAlignment="1">
      <alignment vertical="center"/>
    </xf>
    <xf numFmtId="168" fontId="19" fillId="0" borderId="6" xfId="10" applyFont="1" applyBorder="1" applyAlignment="1">
      <alignment vertical="center"/>
    </xf>
    <xf numFmtId="174" fontId="19" fillId="0" borderId="40" xfId="10" applyNumberFormat="1" applyFont="1" applyBorder="1" applyAlignment="1">
      <alignment vertical="center"/>
    </xf>
    <xf numFmtId="177" fontId="19" fillId="0" borderId="38" xfId="10" applyNumberFormat="1" applyFont="1" applyBorder="1" applyAlignment="1">
      <alignment vertical="center"/>
    </xf>
    <xf numFmtId="168" fontId="19" fillId="0" borderId="43" xfId="10" applyFont="1" applyBorder="1" applyAlignment="1">
      <alignment vertical="center"/>
    </xf>
    <xf numFmtId="168" fontId="19" fillId="0" borderId="3" xfId="10" applyFont="1" applyBorder="1" applyAlignment="1">
      <alignment vertical="center"/>
    </xf>
    <xf numFmtId="168" fontId="19" fillId="0" borderId="15" xfId="10" applyFont="1" applyBorder="1" applyAlignment="1">
      <alignment vertical="center"/>
    </xf>
    <xf numFmtId="168" fontId="19" fillId="0" borderId="44" xfId="10" applyFont="1" applyBorder="1" applyAlignment="1">
      <alignment vertical="center"/>
    </xf>
    <xf numFmtId="168" fontId="25" fillId="0" borderId="43" xfId="10" applyFont="1" applyBorder="1" applyAlignment="1">
      <alignment vertical="center"/>
    </xf>
    <xf numFmtId="168" fontId="24" fillId="0" borderId="15" xfId="10" applyFont="1" applyBorder="1" applyAlignment="1">
      <alignment vertical="center"/>
    </xf>
    <xf numFmtId="168" fontId="24" fillId="0" borderId="3" xfId="10" applyFont="1" applyBorder="1" applyAlignment="1">
      <alignment vertical="center"/>
    </xf>
    <xf numFmtId="174" fontId="24" fillId="0" borderId="44" xfId="10" applyNumberFormat="1" applyFont="1" applyBorder="1" applyAlignment="1">
      <alignment vertical="center"/>
    </xf>
    <xf numFmtId="177" fontId="19" fillId="0" borderId="43" xfId="10" applyNumberFormat="1" applyFont="1" applyBorder="1" applyAlignment="1">
      <alignment vertical="center"/>
    </xf>
    <xf numFmtId="168" fontId="23" fillId="0" borderId="45" xfId="10" applyFont="1" applyBorder="1" applyAlignment="1">
      <alignment vertical="center"/>
    </xf>
    <xf numFmtId="168" fontId="23" fillId="0" borderId="46" xfId="10" applyFont="1" applyBorder="1" applyAlignment="1">
      <alignment vertical="center"/>
    </xf>
    <xf numFmtId="168" fontId="23" fillId="0" borderId="19" xfId="10" applyFont="1" applyBorder="1" applyAlignment="1">
      <alignment vertical="center"/>
    </xf>
    <xf numFmtId="168" fontId="23" fillId="0" borderId="47" xfId="10" applyFont="1" applyBorder="1" applyAlignment="1">
      <alignment vertical="center"/>
    </xf>
    <xf numFmtId="174" fontId="20" fillId="0" borderId="48" xfId="10" applyNumberFormat="1" applyFont="1" applyBorder="1" applyAlignment="1">
      <alignment vertical="center"/>
    </xf>
    <xf numFmtId="177" fontId="23" fillId="0" borderId="19" xfId="10" applyNumberFormat="1" applyFont="1" applyBorder="1" applyAlignment="1">
      <alignment vertical="center"/>
    </xf>
    <xf numFmtId="174" fontId="20" fillId="0" borderId="48" xfId="10" applyNumberFormat="1" applyFont="1" applyFill="1" applyBorder="1" applyAlignment="1">
      <alignment vertical="center"/>
    </xf>
    <xf numFmtId="168" fontId="23" fillId="0" borderId="0" xfId="10" applyFont="1" applyFill="1" applyAlignment="1">
      <alignment vertical="top"/>
    </xf>
    <xf numFmtId="168" fontId="23" fillId="0" borderId="0" xfId="10" applyFont="1" applyAlignment="1">
      <alignment vertical="top"/>
    </xf>
    <xf numFmtId="168" fontId="23" fillId="0" borderId="0" xfId="10" applyFont="1" applyBorder="1" applyAlignment="1">
      <alignment vertical="top"/>
    </xf>
    <xf numFmtId="177" fontId="23" fillId="0" borderId="0" xfId="10" applyNumberFormat="1" applyFont="1" applyBorder="1" applyAlignment="1">
      <alignment vertical="top"/>
    </xf>
    <xf numFmtId="168" fontId="23" fillId="0" borderId="0" xfId="10" applyFont="1" applyFill="1" applyBorder="1" applyAlignment="1">
      <alignment vertical="top"/>
    </xf>
    <xf numFmtId="168" fontId="38" fillId="0" borderId="0" xfId="10" applyFont="1" applyFill="1" applyBorder="1"/>
    <xf numFmtId="0" fontId="39" fillId="0" borderId="0" xfId="12" applyFont="1"/>
    <xf numFmtId="168" fontId="40" fillId="0" borderId="0" xfId="10" applyFont="1" applyFill="1" applyBorder="1" applyAlignment="1">
      <alignment vertical="top"/>
    </xf>
    <xf numFmtId="177" fontId="38" fillId="0" borderId="0" xfId="10" applyNumberFormat="1" applyFont="1" applyFill="1" applyBorder="1"/>
    <xf numFmtId="168" fontId="40" fillId="0" borderId="0" xfId="10" applyFont="1" applyFill="1" applyBorder="1"/>
    <xf numFmtId="168" fontId="41" fillId="0" borderId="0" xfId="10" applyFont="1" applyBorder="1" applyAlignment="1">
      <alignment vertical="top"/>
    </xf>
    <xf numFmtId="168" fontId="42" fillId="0" borderId="0" xfId="10" applyFont="1" applyFill="1" applyBorder="1"/>
    <xf numFmtId="168" fontId="41" fillId="0" borderId="0" xfId="10" applyFont="1" applyFill="1" applyBorder="1" applyAlignment="1">
      <alignment vertical="top"/>
    </xf>
    <xf numFmtId="168" fontId="38" fillId="0" borderId="0" xfId="10" applyFont="1" applyFill="1" applyBorder="1" applyAlignment="1">
      <alignment vertical="top"/>
    </xf>
    <xf numFmtId="177" fontId="19" fillId="0" borderId="0" xfId="10" applyNumberFormat="1" applyFont="1"/>
    <xf numFmtId="0" fontId="45" fillId="0" borderId="0" xfId="0" applyFont="1"/>
    <xf numFmtId="43" fontId="2" fillId="0" borderId="0" xfId="1" applyFont="1"/>
    <xf numFmtId="0" fontId="2" fillId="2" borderId="0" xfId="0" applyFont="1" applyFill="1"/>
    <xf numFmtId="43" fontId="2" fillId="2" borderId="0" xfId="1" applyFont="1" applyFill="1"/>
    <xf numFmtId="0" fontId="0" fillId="0" borderId="0" xfId="0" applyFont="1"/>
    <xf numFmtId="0" fontId="0" fillId="0" borderId="6" xfId="0" applyFont="1" applyBorder="1"/>
    <xf numFmtId="0" fontId="0" fillId="0" borderId="6" xfId="0" applyFont="1" applyBorder="1" applyAlignment="1">
      <alignment horizontal="center"/>
    </xf>
    <xf numFmtId="0" fontId="0" fillId="0" borderId="14" xfId="0" applyFont="1" applyBorder="1" applyAlignment="1">
      <alignment horizontal="center"/>
    </xf>
    <xf numFmtId="168" fontId="0" fillId="0" borderId="6" xfId="0" applyNumberFormat="1" applyFont="1" applyBorder="1"/>
    <xf numFmtId="168" fontId="0" fillId="0" borderId="0" xfId="0" applyNumberFormat="1" applyFont="1"/>
    <xf numFmtId="174" fontId="0" fillId="0" borderId="0" xfId="0" applyNumberFormat="1" applyFont="1"/>
    <xf numFmtId="0" fontId="46" fillId="0" borderId="0" xfId="0" applyFont="1" applyBorder="1"/>
    <xf numFmtId="0" fontId="46" fillId="0" borderId="10" xfId="0" applyFont="1" applyBorder="1"/>
    <xf numFmtId="0" fontId="46" fillId="0" borderId="0" xfId="0" applyFont="1"/>
    <xf numFmtId="168" fontId="46" fillId="0" borderId="10" xfId="9" applyFont="1" applyBorder="1"/>
    <xf numFmtId="0" fontId="46" fillId="0" borderId="4" xfId="0" applyFont="1" applyBorder="1"/>
    <xf numFmtId="168" fontId="46" fillId="0" borderId="0" xfId="9" applyFont="1" applyBorder="1"/>
    <xf numFmtId="168" fontId="46" fillId="0" borderId="10" xfId="0" applyNumberFormat="1" applyFont="1" applyBorder="1"/>
    <xf numFmtId="0" fontId="47" fillId="0" borderId="6" xfId="0" applyFont="1" applyBorder="1"/>
    <xf numFmtId="168" fontId="46" fillId="0" borderId="6" xfId="9" applyFont="1" applyBorder="1"/>
    <xf numFmtId="168" fontId="47" fillId="0" borderId="6" xfId="0" applyNumberFormat="1" applyFont="1" applyBorder="1"/>
    <xf numFmtId="168" fontId="46" fillId="0" borderId="6" xfId="0" applyNumberFormat="1" applyFont="1" applyBorder="1"/>
    <xf numFmtId="0" fontId="47" fillId="2" borderId="6" xfId="0" applyFont="1" applyFill="1" applyBorder="1"/>
    <xf numFmtId="168" fontId="47" fillId="2" borderId="6" xfId="9" applyFont="1" applyFill="1" applyBorder="1"/>
    <xf numFmtId="0" fontId="45" fillId="0" borderId="4" xfId="0" applyFont="1" applyFill="1" applyBorder="1"/>
    <xf numFmtId="43" fontId="0" fillId="0" borderId="6" xfId="1" applyFont="1" applyBorder="1"/>
    <xf numFmtId="43" fontId="2" fillId="0" borderId="6" xfId="1" applyFont="1" applyBorder="1"/>
    <xf numFmtId="174" fontId="49" fillId="0" borderId="0" xfId="14" applyNumberFormat="1" applyFont="1" applyFill="1" applyBorder="1"/>
    <xf numFmtId="171" fontId="49" fillId="0" borderId="0" xfId="9" applyNumberFormat="1" applyFont="1" applyFill="1" applyBorder="1"/>
    <xf numFmtId="174" fontId="49" fillId="0" borderId="4" xfId="14" applyNumberFormat="1" applyFont="1" applyFill="1" applyBorder="1"/>
    <xf numFmtId="174" fontId="49" fillId="0" borderId="23" xfId="14" applyNumberFormat="1" applyFont="1" applyFill="1" applyBorder="1" applyAlignment="1">
      <alignment horizontal="right"/>
    </xf>
    <xf numFmtId="174" fontId="48" fillId="0" borderId="0" xfId="15" applyNumberFormat="1" applyFont="1" applyFill="1"/>
    <xf numFmtId="179" fontId="49" fillId="0" borderId="0" xfId="16" applyNumberFormat="1" applyFont="1" applyFill="1"/>
    <xf numFmtId="179" fontId="54" fillId="0" borderId="0" xfId="17" applyFont="1" applyFill="1"/>
    <xf numFmtId="181" fontId="55" fillId="0" borderId="3" xfId="18" applyNumberFormat="1" applyFont="1" applyFill="1" applyBorder="1"/>
    <xf numFmtId="181" fontId="55" fillId="0" borderId="2" xfId="18" applyNumberFormat="1" applyFont="1" applyFill="1" applyBorder="1"/>
    <xf numFmtId="181" fontId="54" fillId="0" borderId="4" xfId="18" applyNumberFormat="1" applyFont="1" applyFill="1" applyBorder="1"/>
    <xf numFmtId="181" fontId="54" fillId="0" borderId="0" xfId="18" applyNumberFormat="1" applyFont="1" applyFill="1" applyBorder="1"/>
    <xf numFmtId="174" fontId="54" fillId="0" borderId="0" xfId="18" applyNumberFormat="1" applyFont="1" applyFill="1" applyBorder="1" applyAlignment="1">
      <alignment horizontal="right"/>
    </xf>
    <xf numFmtId="181" fontId="54" fillId="0" borderId="5" xfId="18" applyNumberFormat="1" applyFont="1" applyFill="1" applyBorder="1"/>
    <xf numFmtId="181" fontId="54" fillId="0" borderId="1" xfId="18" applyNumberFormat="1" applyFont="1" applyFill="1" applyBorder="1"/>
    <xf numFmtId="179" fontId="54" fillId="0" borderId="5" xfId="17" applyFont="1" applyFill="1" applyBorder="1"/>
    <xf numFmtId="179" fontId="54" fillId="0" borderId="1" xfId="17" applyFont="1" applyFill="1" applyBorder="1"/>
    <xf numFmtId="0" fontId="45" fillId="0" borderId="6" xfId="0" applyFont="1" applyBorder="1"/>
    <xf numFmtId="14" fontId="0" fillId="0" borderId="6" xfId="0" applyNumberFormat="1" applyBorder="1"/>
    <xf numFmtId="43" fontId="0" fillId="0" borderId="6" xfId="0" applyNumberFormat="1" applyBorder="1"/>
    <xf numFmtId="168" fontId="21" fillId="0" borderId="0" xfId="10" applyFont="1" applyBorder="1" applyAlignment="1">
      <alignment horizontal="center" vertical="top"/>
    </xf>
    <xf numFmtId="0" fontId="7" fillId="0" borderId="0" xfId="19" applyNumberFormat="1" applyFont="1" applyFill="1" applyAlignment="1">
      <alignment horizontal="center"/>
    </xf>
    <xf numFmtId="0" fontId="7" fillId="0" borderId="0" xfId="19" applyFont="1" applyFill="1"/>
    <xf numFmtId="174" fontId="7" fillId="0" borderId="0" xfId="20" applyNumberFormat="1" applyFont="1" applyFill="1"/>
    <xf numFmtId="168" fontId="7" fillId="0" borderId="0" xfId="19" applyNumberFormat="1" applyFont="1" applyFill="1"/>
    <xf numFmtId="0" fontId="56" fillId="0" borderId="4" xfId="19" applyFont="1" applyFill="1" applyBorder="1" applyAlignment="1">
      <alignment horizontal="center"/>
    </xf>
    <xf numFmtId="0" fontId="56" fillId="0" borderId="0" xfId="19" applyFont="1" applyFill="1" applyBorder="1" applyAlignment="1">
      <alignment horizontal="center"/>
    </xf>
    <xf numFmtId="174" fontId="56" fillId="0" borderId="0" xfId="20" applyNumberFormat="1" applyFont="1" applyFill="1" applyBorder="1" applyAlignment="1">
      <alignment horizontal="center"/>
    </xf>
    <xf numFmtId="0" fontId="7" fillId="0" borderId="10" xfId="19" applyFont="1" applyFill="1" applyBorder="1"/>
    <xf numFmtId="172" fontId="56" fillId="0" borderId="4" xfId="21" applyNumberFormat="1" applyFont="1" applyFill="1" applyBorder="1" applyAlignment="1">
      <alignment horizontal="center"/>
    </xf>
    <xf numFmtId="172" fontId="56" fillId="0" borderId="0" xfId="21" applyNumberFormat="1" applyFont="1" applyFill="1" applyBorder="1" applyAlignment="1">
      <alignment horizontal="center"/>
    </xf>
    <xf numFmtId="174" fontId="56" fillId="0" borderId="4" xfId="20" applyNumberFormat="1" applyFont="1" applyFill="1" applyBorder="1" applyAlignment="1">
      <alignment horizontal="center"/>
    </xf>
    <xf numFmtId="0" fontId="7" fillId="0" borderId="4" xfId="19" applyNumberFormat="1" applyFont="1" applyFill="1" applyBorder="1" applyAlignment="1">
      <alignment horizontal="center"/>
    </xf>
    <xf numFmtId="174" fontId="7" fillId="0" borderId="0" xfId="20" applyNumberFormat="1" applyFont="1" applyFill="1" applyBorder="1"/>
    <xf numFmtId="174" fontId="56" fillId="0" borderId="0" xfId="20" applyNumberFormat="1" applyFont="1" applyFill="1" applyBorder="1"/>
    <xf numFmtId="0" fontId="56" fillId="0" borderId="3" xfId="20" applyNumberFormat="1" applyFont="1" applyFill="1" applyBorder="1" applyAlignment="1">
      <alignment horizontal="center"/>
    </xf>
    <xf numFmtId="9" fontId="56" fillId="0" borderId="15" xfId="6" applyFont="1" applyFill="1" applyBorder="1"/>
    <xf numFmtId="174" fontId="56" fillId="0" borderId="2" xfId="20" applyNumberFormat="1" applyFont="1" applyFill="1" applyBorder="1" applyAlignment="1">
      <alignment horizontal="center"/>
    </xf>
    <xf numFmtId="174" fontId="56" fillId="0" borderId="15" xfId="20" applyNumberFormat="1" applyFont="1" applyFill="1" applyBorder="1" applyAlignment="1">
      <alignment horizontal="center"/>
    </xf>
    <xf numFmtId="174" fontId="56" fillId="0" borderId="9" xfId="20" applyNumberFormat="1" applyFont="1" applyFill="1" applyBorder="1" applyAlignment="1">
      <alignment horizontal="center"/>
    </xf>
    <xf numFmtId="0" fontId="56" fillId="0" borderId="4" xfId="20" applyNumberFormat="1" applyFont="1" applyFill="1" applyBorder="1" applyAlignment="1">
      <alignment horizontal="center"/>
    </xf>
    <xf numFmtId="174" fontId="56" fillId="0" borderId="14" xfId="20" applyNumberFormat="1" applyFont="1" applyFill="1" applyBorder="1"/>
    <xf numFmtId="174" fontId="56" fillId="0" borderId="14" xfId="20" applyNumberFormat="1" applyFont="1" applyFill="1" applyBorder="1" applyAlignment="1">
      <alignment horizontal="center"/>
    </xf>
    <xf numFmtId="14" fontId="56" fillId="0" borderId="14" xfId="20" applyNumberFormat="1" applyFont="1" applyFill="1" applyBorder="1" applyAlignment="1">
      <alignment horizontal="center"/>
    </xf>
    <xf numFmtId="0" fontId="58" fillId="0" borderId="5" xfId="20" applyNumberFormat="1" applyFont="1" applyFill="1" applyBorder="1" applyAlignment="1">
      <alignment horizontal="center"/>
    </xf>
    <xf numFmtId="174" fontId="58" fillId="0" borderId="13" xfId="20" applyNumberFormat="1" applyFont="1" applyFill="1" applyBorder="1"/>
    <xf numFmtId="174" fontId="58" fillId="0" borderId="1" xfId="20" applyNumberFormat="1" applyFont="1" applyFill="1" applyBorder="1"/>
    <xf numFmtId="174" fontId="59" fillId="0" borderId="13" xfId="20" applyNumberFormat="1" applyFont="1" applyFill="1" applyBorder="1" applyAlignment="1">
      <alignment horizontal="center"/>
    </xf>
    <xf numFmtId="174" fontId="56" fillId="0" borderId="13" xfId="20" applyNumberFormat="1" applyFont="1" applyFill="1" applyBorder="1" applyAlignment="1">
      <alignment horizontal="center"/>
    </xf>
    <xf numFmtId="0" fontId="58" fillId="0" borderId="15" xfId="20" applyNumberFormat="1" applyFont="1" applyFill="1" applyBorder="1" applyAlignment="1">
      <alignment horizontal="center"/>
    </xf>
    <xf numFmtId="0" fontId="7" fillId="0" borderId="2" xfId="19" applyFont="1" applyFill="1" applyBorder="1"/>
    <xf numFmtId="174" fontId="58" fillId="0" borderId="15" xfId="20" applyNumberFormat="1" applyFont="1" applyFill="1" applyBorder="1"/>
    <xf numFmtId="174" fontId="58" fillId="0" borderId="14" xfId="20" applyNumberFormat="1" applyFont="1" applyFill="1" applyBorder="1"/>
    <xf numFmtId="0" fontId="7" fillId="0" borderId="14" xfId="19" applyFont="1" applyFill="1" applyBorder="1"/>
    <xf numFmtId="0" fontId="58" fillId="0" borderId="14" xfId="20" applyNumberFormat="1" applyFont="1" applyFill="1" applyBorder="1" applyAlignment="1">
      <alignment horizontal="center"/>
    </xf>
    <xf numFmtId="9" fontId="60" fillId="0" borderId="10" xfId="6" applyFont="1" applyFill="1" applyBorder="1"/>
    <xf numFmtId="174" fontId="58" fillId="0" borderId="0" xfId="20" applyNumberFormat="1" applyFont="1" applyFill="1" applyBorder="1"/>
    <xf numFmtId="0" fontId="56" fillId="0" borderId="14" xfId="20" quotePrefix="1" applyNumberFormat="1" applyFont="1" applyFill="1" applyBorder="1" applyAlignment="1">
      <alignment horizontal="center"/>
    </xf>
    <xf numFmtId="9" fontId="7" fillId="0" borderId="10" xfId="6" applyFont="1" applyFill="1" applyBorder="1"/>
    <xf numFmtId="9" fontId="7" fillId="0" borderId="0" xfId="20" applyNumberFormat="1" applyFont="1" applyFill="1" applyBorder="1" applyAlignment="1">
      <alignment horizontal="center"/>
    </xf>
    <xf numFmtId="174" fontId="7" fillId="0" borderId="14" xfId="20" applyNumberFormat="1" applyFont="1" applyFill="1" applyBorder="1"/>
    <xf numFmtId="171" fontId="7" fillId="0" borderId="14" xfId="20" applyNumberFormat="1" applyFont="1" applyFill="1" applyBorder="1"/>
    <xf numFmtId="0" fontId="58" fillId="0" borderId="13" xfId="20" applyNumberFormat="1" applyFont="1" applyFill="1" applyBorder="1" applyAlignment="1">
      <alignment horizontal="center"/>
    </xf>
    <xf numFmtId="0" fontId="7" fillId="0" borderId="1" xfId="19" applyFont="1" applyFill="1" applyBorder="1"/>
    <xf numFmtId="9" fontId="56" fillId="0" borderId="24" xfId="6" applyFont="1" applyFill="1" applyBorder="1"/>
    <xf numFmtId="9" fontId="7" fillId="0" borderId="1" xfId="20" applyNumberFormat="1" applyFont="1" applyFill="1" applyBorder="1" applyAlignment="1">
      <alignment horizontal="center"/>
    </xf>
    <xf numFmtId="174" fontId="56" fillId="0" borderId="6" xfId="20" applyNumberFormat="1" applyFont="1" applyFill="1" applyBorder="1"/>
    <xf numFmtId="168" fontId="7" fillId="0" borderId="10" xfId="20" applyNumberFormat="1" applyFont="1" applyFill="1" applyBorder="1" applyAlignment="1">
      <alignment horizontal="center"/>
    </xf>
    <xf numFmtId="174" fontId="7" fillId="0" borderId="10" xfId="20" applyNumberFormat="1" applyFont="1" applyFill="1" applyBorder="1" applyAlignment="1">
      <alignment horizontal="center"/>
    </xf>
    <xf numFmtId="171" fontId="7" fillId="4" borderId="14" xfId="20" applyNumberFormat="1" applyFont="1" applyFill="1" applyBorder="1"/>
    <xf numFmtId="174" fontId="7" fillId="4" borderId="14" xfId="20" applyNumberFormat="1" applyFont="1" applyFill="1" applyBorder="1"/>
    <xf numFmtId="0" fontId="59" fillId="0" borderId="14" xfId="20" applyNumberFormat="1" applyFont="1" applyFill="1" applyBorder="1" applyAlignment="1">
      <alignment horizontal="center"/>
    </xf>
    <xf numFmtId="174" fontId="58" fillId="0" borderId="0" xfId="20" applyNumberFormat="1" applyFont="1" applyFill="1" applyBorder="1" applyAlignment="1">
      <alignment horizontal="center"/>
    </xf>
    <xf numFmtId="168" fontId="7" fillId="0" borderId="10" xfId="20" applyNumberFormat="1" applyFont="1" applyFill="1" applyBorder="1"/>
    <xf numFmtId="168" fontId="7" fillId="0" borderId="14" xfId="20" applyNumberFormat="1" applyFont="1" applyFill="1" applyBorder="1"/>
    <xf numFmtId="9" fontId="7" fillId="0" borderId="13" xfId="6" applyFont="1" applyFill="1" applyBorder="1"/>
    <xf numFmtId="0" fontId="58" fillId="0" borderId="6" xfId="20" applyNumberFormat="1" applyFont="1" applyFill="1" applyBorder="1" applyAlignment="1">
      <alignment horizontal="center"/>
    </xf>
    <xf numFmtId="9" fontId="7" fillId="0" borderId="6" xfId="20" applyNumberFormat="1" applyFont="1" applyFill="1" applyBorder="1" applyAlignment="1">
      <alignment horizontal="center"/>
    </xf>
    <xf numFmtId="0" fontId="58" fillId="0" borderId="4" xfId="20" applyNumberFormat="1" applyFont="1" applyFill="1" applyBorder="1" applyAlignment="1">
      <alignment horizontal="center"/>
    </xf>
    <xf numFmtId="174" fontId="58" fillId="0" borderId="10" xfId="20" applyNumberFormat="1" applyFont="1" applyFill="1" applyBorder="1"/>
    <xf numFmtId="9" fontId="7" fillId="0" borderId="14" xfId="6" applyFont="1" applyFill="1" applyBorder="1"/>
    <xf numFmtId="174" fontId="7" fillId="0" borderId="14" xfId="20" applyNumberFormat="1" applyFont="1" applyFill="1" applyBorder="1" applyAlignment="1">
      <alignment horizontal="center"/>
    </xf>
    <xf numFmtId="0" fontId="56" fillId="0" borderId="6" xfId="19" applyFont="1" applyFill="1" applyBorder="1"/>
    <xf numFmtId="174" fontId="58" fillId="0" borderId="6" xfId="20" applyNumberFormat="1" applyFont="1" applyFill="1" applyBorder="1"/>
    <xf numFmtId="174" fontId="7" fillId="0" borderId="1" xfId="20" applyNumberFormat="1" applyFont="1" applyFill="1" applyBorder="1" applyAlignment="1">
      <alignment horizontal="center"/>
    </xf>
    <xf numFmtId="174" fontId="7" fillId="0" borderId="0" xfId="19" applyNumberFormat="1" applyFont="1" applyFill="1"/>
    <xf numFmtId="0" fontId="56" fillId="0" borderId="14" xfId="19" applyNumberFormat="1" applyFont="1" applyFill="1" applyBorder="1" applyAlignment="1">
      <alignment horizontal="center"/>
    </xf>
    <xf numFmtId="174" fontId="58" fillId="0" borderId="14" xfId="20" applyNumberFormat="1" applyFont="1" applyFill="1" applyBorder="1" applyAlignment="1">
      <alignment horizontal="center"/>
    </xf>
    <xf numFmtId="174" fontId="7" fillId="0" borderId="10" xfId="20" applyNumberFormat="1" applyFont="1" applyFill="1" applyBorder="1"/>
    <xf numFmtId="9" fontId="7" fillId="0" borderId="14" xfId="20" applyNumberFormat="1" applyFont="1" applyFill="1" applyBorder="1" applyAlignment="1">
      <alignment horizontal="center"/>
    </xf>
    <xf numFmtId="174" fontId="7" fillId="0" borderId="13" xfId="20" quotePrefix="1" applyNumberFormat="1" applyFont="1" applyFill="1" applyBorder="1" applyAlignment="1">
      <alignment horizontal="center"/>
    </xf>
    <xf numFmtId="9" fontId="60" fillId="0" borderId="0" xfId="6" applyFont="1" applyFill="1" applyBorder="1"/>
    <xf numFmtId="9" fontId="7" fillId="0" borderId="0" xfId="6" applyFont="1" applyFill="1" applyBorder="1"/>
    <xf numFmtId="0" fontId="56" fillId="0" borderId="6" xfId="20" quotePrefix="1" applyNumberFormat="1" applyFont="1" applyFill="1" applyBorder="1" applyAlignment="1">
      <alignment horizontal="center"/>
    </xf>
    <xf numFmtId="9" fontId="56" fillId="0" borderId="25" xfId="6" applyFont="1" applyFill="1" applyBorder="1"/>
    <xf numFmtId="174" fontId="58" fillId="0" borderId="25" xfId="20" applyNumberFormat="1" applyFont="1" applyFill="1" applyBorder="1" applyAlignment="1">
      <alignment horizontal="center"/>
    </xf>
    <xf numFmtId="0" fontId="56" fillId="0" borderId="14" xfId="20" applyNumberFormat="1" applyFont="1" applyFill="1" applyBorder="1" applyAlignment="1">
      <alignment horizontal="center"/>
    </xf>
    <xf numFmtId="174" fontId="7" fillId="0" borderId="0" xfId="20" applyNumberFormat="1" applyFont="1" applyFill="1" applyBorder="1" applyAlignment="1">
      <alignment horizontal="center"/>
    </xf>
    <xf numFmtId="168" fontId="7" fillId="0" borderId="14" xfId="23" applyNumberFormat="1" applyFont="1" applyFill="1" applyBorder="1"/>
    <xf numFmtId="174" fontId="7" fillId="0" borderId="14" xfId="23" applyNumberFormat="1" applyFont="1" applyFill="1" applyBorder="1"/>
    <xf numFmtId="174" fontId="7" fillId="0" borderId="13" xfId="20" applyNumberFormat="1" applyFont="1" applyFill="1" applyBorder="1" applyAlignment="1">
      <alignment horizontal="center"/>
    </xf>
    <xf numFmtId="0" fontId="56" fillId="0" borderId="13" xfId="20" quotePrefix="1" applyNumberFormat="1" applyFont="1" applyFill="1" applyBorder="1" applyAlignment="1">
      <alignment horizontal="center"/>
    </xf>
    <xf numFmtId="174" fontId="7" fillId="0" borderId="26" xfId="20" quotePrefix="1" applyNumberFormat="1" applyFont="1" applyFill="1" applyBorder="1" applyAlignment="1">
      <alignment horizontal="center"/>
    </xf>
    <xf numFmtId="43" fontId="7" fillId="0" borderId="0" xfId="19" applyNumberFormat="1" applyFont="1" applyFill="1"/>
    <xf numFmtId="174" fontId="56" fillId="0" borderId="0" xfId="19" applyNumberFormat="1" applyFont="1" applyFill="1"/>
    <xf numFmtId="171" fontId="7" fillId="0" borderId="0" xfId="19" applyNumberFormat="1" applyFont="1" applyFill="1"/>
    <xf numFmtId="0" fontId="56" fillId="0" borderId="0" xfId="19" applyFont="1" applyFill="1"/>
    <xf numFmtId="0" fontId="7" fillId="0" borderId="0" xfId="19" applyFont="1" applyFill="1" applyAlignment="1">
      <alignment horizontal="center"/>
    </xf>
    <xf numFmtId="0" fontId="56" fillId="0" borderId="0" xfId="19" applyFont="1" applyFill="1" applyAlignment="1">
      <alignment horizontal="center"/>
    </xf>
    <xf numFmtId="174" fontId="7" fillId="0" borderId="0" xfId="19" applyNumberFormat="1" applyFont="1" applyFill="1" applyAlignment="1">
      <alignment horizontal="center"/>
    </xf>
    <xf numFmtId="37" fontId="7" fillId="0" borderId="0" xfId="19" applyNumberFormat="1" applyFont="1" applyFill="1"/>
    <xf numFmtId="9" fontId="7" fillId="0" borderId="0" xfId="19" applyNumberFormat="1" applyFont="1" applyFill="1"/>
    <xf numFmtId="0" fontId="56" fillId="0" borderId="0" xfId="19" applyFont="1" applyFill="1" applyBorder="1"/>
    <xf numFmtId="37" fontId="56" fillId="0" borderId="8" xfId="19" applyNumberFormat="1" applyFont="1" applyFill="1" applyBorder="1"/>
    <xf numFmtId="174" fontId="7" fillId="0" borderId="0" xfId="20" applyNumberFormat="1" applyFont="1" applyFill="1" applyAlignment="1">
      <alignment horizontal="left"/>
    </xf>
    <xf numFmtId="172" fontId="61" fillId="0" borderId="4" xfId="24" applyNumberFormat="1" applyFont="1" applyFill="1" applyBorder="1" applyAlignment="1">
      <alignment horizontal="center"/>
    </xf>
    <xf numFmtId="172" fontId="61" fillId="0" borderId="0" xfId="24" applyNumberFormat="1" applyFont="1" applyFill="1" applyBorder="1" applyAlignment="1">
      <alignment horizontal="center"/>
    </xf>
    <xf numFmtId="174" fontId="61" fillId="0" borderId="0" xfId="25" applyNumberFormat="1" applyFont="1" applyFill="1" applyBorder="1" applyAlignment="1">
      <alignment horizontal="center"/>
    </xf>
    <xf numFmtId="172" fontId="61" fillId="0" borderId="10" xfId="24" applyNumberFormat="1" applyFont="1" applyFill="1" applyBorder="1" applyAlignment="1">
      <alignment horizontal="center"/>
    </xf>
    <xf numFmtId="172" fontId="61" fillId="0" borderId="5" xfId="24" applyNumberFormat="1" applyFont="1" applyFill="1" applyBorder="1" applyAlignment="1">
      <alignment horizontal="center"/>
    </xf>
    <xf numFmtId="172" fontId="61" fillId="0" borderId="1" xfId="24" applyNumberFormat="1" applyFont="1" applyFill="1" applyBorder="1" applyAlignment="1">
      <alignment horizontal="center"/>
    </xf>
    <xf numFmtId="174" fontId="61" fillId="0" borderId="1" xfId="25" applyNumberFormat="1" applyFont="1" applyFill="1" applyBorder="1" applyAlignment="1">
      <alignment horizontal="center"/>
    </xf>
    <xf numFmtId="172" fontId="61" fillId="0" borderId="24" xfId="24" applyNumberFormat="1" applyFont="1" applyFill="1" applyBorder="1" applyAlignment="1">
      <alignment horizontal="center"/>
    </xf>
    <xf numFmtId="9" fontId="0" fillId="0" borderId="0" xfId="0" applyNumberFormat="1"/>
    <xf numFmtId="172" fontId="61" fillId="0" borderId="26" xfId="24" applyNumberFormat="1" applyFont="1" applyFill="1" applyBorder="1" applyAlignment="1">
      <alignment vertical="top"/>
    </xf>
    <xf numFmtId="172" fontId="61" fillId="0" borderId="7" xfId="24" applyNumberFormat="1" applyFont="1" applyFill="1" applyBorder="1"/>
    <xf numFmtId="174" fontId="61" fillId="0" borderId="7" xfId="25" applyNumberFormat="1" applyFont="1" applyFill="1" applyBorder="1"/>
    <xf numFmtId="172" fontId="61" fillId="0" borderId="6" xfId="24" applyNumberFormat="1" applyFont="1" applyFill="1" applyBorder="1" applyAlignment="1">
      <alignment horizontal="right" vertical="top" wrapText="1"/>
    </xf>
    <xf numFmtId="183" fontId="0" fillId="0" borderId="0" xfId="2" applyNumberFormat="1" applyFont="1"/>
    <xf numFmtId="172" fontId="61" fillId="0" borderId="3" xfId="24" applyNumberFormat="1" applyFont="1" applyFill="1" applyBorder="1" applyAlignment="1">
      <alignment vertical="top"/>
    </xf>
    <xf numFmtId="172" fontId="61" fillId="0" borderId="2" xfId="24" applyNumberFormat="1" applyFont="1" applyFill="1" applyBorder="1"/>
    <xf numFmtId="174" fontId="61" fillId="0" borderId="2" xfId="25" applyNumberFormat="1" applyFont="1" applyFill="1" applyBorder="1"/>
    <xf numFmtId="174" fontId="61" fillId="0" borderId="15" xfId="25" applyNumberFormat="1" applyFont="1" applyFill="1" applyBorder="1"/>
    <xf numFmtId="172" fontId="61" fillId="0" borderId="15" xfId="24" applyNumberFormat="1" applyFont="1" applyFill="1" applyBorder="1" applyAlignment="1">
      <alignment horizontal="right" vertical="top" wrapText="1"/>
    </xf>
    <xf numFmtId="10" fontId="0" fillId="0" borderId="0" xfId="2" applyNumberFormat="1" applyFont="1"/>
    <xf numFmtId="184" fontId="62" fillId="0" borderId="4" xfId="24" applyNumberFormat="1" applyFont="1" applyFill="1" applyBorder="1" applyAlignment="1">
      <alignment horizontal="left"/>
    </xf>
    <xf numFmtId="172" fontId="63" fillId="0" borderId="0" xfId="24" applyNumberFormat="1" applyFont="1" applyFill="1" applyBorder="1"/>
    <xf numFmtId="174" fontId="62" fillId="0" borderId="0" xfId="25" applyNumberFormat="1" applyFont="1" applyFill="1" applyBorder="1"/>
    <xf numFmtId="174" fontId="62" fillId="0" borderId="14" xfId="25" applyNumberFormat="1" applyFont="1" applyFill="1" applyBorder="1"/>
    <xf numFmtId="172" fontId="63" fillId="0" borderId="14" xfId="24" applyNumberFormat="1" applyFont="1" applyFill="1" applyBorder="1"/>
    <xf numFmtId="172" fontId="64" fillId="0" borderId="4" xfId="24" applyNumberFormat="1" applyFont="1" applyFill="1" applyBorder="1"/>
    <xf numFmtId="172" fontId="61" fillId="0" borderId="0" xfId="24" applyNumberFormat="1" applyFont="1" applyFill="1" applyBorder="1"/>
    <xf numFmtId="174" fontId="61" fillId="0" borderId="0" xfId="25" applyNumberFormat="1" applyFont="1" applyFill="1" applyBorder="1"/>
    <xf numFmtId="174" fontId="61" fillId="0" borderId="14" xfId="25" applyNumberFormat="1" applyFont="1" applyFill="1" applyBorder="1"/>
    <xf numFmtId="172" fontId="64" fillId="0" borderId="14" xfId="24" applyNumberFormat="1" applyFont="1" applyFill="1" applyBorder="1"/>
    <xf numFmtId="10" fontId="0" fillId="0" borderId="0" xfId="0" applyNumberFormat="1"/>
    <xf numFmtId="172" fontId="61" fillId="0" borderId="4" xfId="24" applyNumberFormat="1" applyFont="1" applyFill="1" applyBorder="1"/>
    <xf numFmtId="172" fontId="64" fillId="0" borderId="0" xfId="24" applyNumberFormat="1" applyFont="1" applyFill="1" applyBorder="1"/>
    <xf numFmtId="174" fontId="64" fillId="0" borderId="0" xfId="25" applyNumberFormat="1" applyFont="1" applyFill="1" applyBorder="1"/>
    <xf numFmtId="174" fontId="64" fillId="0" borderId="14" xfId="25" applyNumberFormat="1" applyFont="1" applyFill="1" applyBorder="1"/>
    <xf numFmtId="168" fontId="64" fillId="0" borderId="14" xfId="9" applyFont="1" applyFill="1" applyBorder="1"/>
    <xf numFmtId="174" fontId="61" fillId="0" borderId="0" xfId="25" applyNumberFormat="1" applyFont="1" applyFill="1" applyBorder="1" applyAlignment="1">
      <alignment horizontal="right"/>
    </xf>
    <xf numFmtId="174" fontId="61" fillId="0" borderId="14" xfId="25" applyNumberFormat="1" applyFont="1" applyFill="1" applyBorder="1" applyAlignment="1">
      <alignment horizontal="right"/>
    </xf>
    <xf numFmtId="174" fontId="61" fillId="0" borderId="18" xfId="25" applyNumberFormat="1" applyFont="1" applyFill="1" applyBorder="1"/>
    <xf numFmtId="174" fontId="61" fillId="0" borderId="16" xfId="25" applyNumberFormat="1" applyFont="1" applyFill="1" applyBorder="1"/>
    <xf numFmtId="171" fontId="64" fillId="0" borderId="14" xfId="24" applyNumberFormat="1" applyFont="1" applyFill="1" applyBorder="1"/>
    <xf numFmtId="171" fontId="61" fillId="0" borderId="18" xfId="26" applyNumberFormat="1" applyFont="1" applyFill="1" applyBorder="1"/>
    <xf numFmtId="171" fontId="64" fillId="0" borderId="14" xfId="26" applyNumberFormat="1" applyFont="1" applyFill="1" applyBorder="1"/>
    <xf numFmtId="174" fontId="64" fillId="0" borderId="0" xfId="25" applyNumberFormat="1" applyFont="1" applyFill="1" applyBorder="1" applyAlignment="1">
      <alignment horizontal="right"/>
    </xf>
    <xf numFmtId="174" fontId="64" fillId="0" borderId="14" xfId="25" applyNumberFormat="1" applyFont="1" applyFill="1" applyBorder="1" applyAlignment="1">
      <alignment horizontal="right"/>
    </xf>
    <xf numFmtId="172" fontId="64" fillId="0" borderId="29" xfId="24" applyNumberFormat="1" applyFont="1" applyFill="1" applyBorder="1"/>
    <xf numFmtId="172" fontId="61" fillId="0" borderId="14" xfId="24" applyNumberFormat="1" applyFont="1" applyFill="1" applyBorder="1"/>
    <xf numFmtId="172" fontId="62" fillId="0" borderId="4" xfId="24" applyNumberFormat="1" applyFont="1" applyFill="1" applyBorder="1"/>
    <xf numFmtId="172" fontId="62" fillId="0" borderId="5" xfId="24" applyNumberFormat="1" applyFont="1" applyFill="1" applyBorder="1"/>
    <xf numFmtId="172" fontId="61" fillId="0" borderId="1" xfId="24" applyNumberFormat="1" applyFont="1" applyFill="1" applyBorder="1"/>
    <xf numFmtId="172" fontId="64" fillId="0" borderId="1" xfId="24" applyNumberFormat="1" applyFont="1" applyFill="1" applyBorder="1"/>
    <xf numFmtId="174" fontId="64" fillId="0" borderId="1" xfId="25" applyNumberFormat="1" applyFont="1" applyFill="1" applyBorder="1"/>
    <xf numFmtId="174" fontId="64" fillId="0" borderId="13" xfId="25" applyNumberFormat="1" applyFont="1" applyFill="1" applyBorder="1"/>
    <xf numFmtId="174" fontId="61" fillId="0" borderId="13" xfId="25" applyNumberFormat="1" applyFont="1" applyFill="1" applyBorder="1"/>
    <xf numFmtId="172" fontId="64" fillId="0" borderId="13" xfId="24" applyNumberFormat="1" applyFont="1" applyFill="1" applyBorder="1"/>
    <xf numFmtId="172" fontId="63" fillId="0" borderId="4" xfId="24" applyNumberFormat="1" applyFont="1" applyFill="1" applyBorder="1"/>
    <xf numFmtId="172" fontId="63" fillId="0" borderId="2" xfId="24" applyNumberFormat="1" applyFont="1" applyFill="1" applyBorder="1"/>
    <xf numFmtId="174" fontId="63" fillId="0" borderId="0" xfId="25" applyNumberFormat="1" applyFont="1" applyFill="1" applyBorder="1"/>
    <xf numFmtId="174" fontId="63" fillId="0" borderId="14" xfId="25" applyNumberFormat="1" applyFont="1" applyFill="1" applyBorder="1"/>
    <xf numFmtId="166" fontId="63" fillId="0" borderId="14" xfId="25" applyNumberFormat="1" applyFont="1" applyFill="1" applyBorder="1"/>
    <xf numFmtId="166" fontId="63" fillId="0" borderId="14" xfId="24" applyNumberFormat="1" applyFont="1" applyFill="1" applyBorder="1"/>
    <xf numFmtId="172" fontId="63" fillId="0" borderId="5" xfId="24" applyNumberFormat="1" applyFont="1" applyFill="1" applyBorder="1"/>
    <xf numFmtId="172" fontId="63" fillId="0" borderId="1" xfId="24" applyNumberFormat="1" applyFont="1" applyFill="1" applyBorder="1"/>
    <xf numFmtId="174" fontId="63" fillId="0" borderId="1" xfId="25" applyNumberFormat="1" applyFont="1" applyFill="1" applyBorder="1"/>
    <xf numFmtId="174" fontId="63" fillId="0" borderId="13" xfId="25" applyNumberFormat="1" applyFont="1" applyFill="1" applyBorder="1"/>
    <xf numFmtId="166" fontId="63" fillId="0" borderId="13" xfId="24" applyNumberFormat="1" applyFont="1" applyFill="1" applyBorder="1"/>
    <xf numFmtId="166" fontId="63" fillId="0" borderId="13" xfId="25" applyNumberFormat="1" applyFont="1" applyFill="1" applyBorder="1"/>
    <xf numFmtId="166" fontId="9" fillId="5" borderId="0" xfId="3" applyNumberFormat="1" applyFont="1" applyFill="1" applyBorder="1" applyAlignment="1">
      <alignment horizontal="left"/>
    </xf>
    <xf numFmtId="166" fontId="9" fillId="5" borderId="4" xfId="3" applyNumberFormat="1" applyFont="1" applyFill="1" applyBorder="1" applyAlignment="1">
      <alignment horizontal="left"/>
    </xf>
    <xf numFmtId="166" fontId="9" fillId="5" borderId="4" xfId="4" applyNumberFormat="1" applyFont="1" applyFill="1" applyBorder="1"/>
    <xf numFmtId="168" fontId="25" fillId="0" borderId="7" xfId="10" applyFont="1" applyBorder="1" applyAlignment="1">
      <alignment vertical="center"/>
    </xf>
    <xf numFmtId="168" fontId="25" fillId="0" borderId="25" xfId="10" applyFont="1" applyBorder="1" applyAlignment="1">
      <alignment vertical="center"/>
    </xf>
    <xf numFmtId="177" fontId="66" fillId="0" borderId="38" xfId="10" applyNumberFormat="1" applyFont="1" applyFill="1" applyBorder="1" applyAlignment="1">
      <alignment vertical="center"/>
    </xf>
    <xf numFmtId="168" fontId="30" fillId="0" borderId="13" xfId="10" applyFont="1" applyBorder="1" applyAlignment="1">
      <alignment vertical="center"/>
    </xf>
    <xf numFmtId="174" fontId="66" fillId="0" borderId="37" xfId="10" applyNumberFormat="1" applyFont="1" applyBorder="1" applyAlignment="1">
      <alignment vertical="center"/>
    </xf>
    <xf numFmtId="177" fontId="66" fillId="0" borderId="38" xfId="10" applyNumberFormat="1" applyFont="1" applyBorder="1" applyAlignment="1">
      <alignment vertical="center"/>
    </xf>
    <xf numFmtId="177" fontId="22" fillId="0" borderId="38" xfId="10" applyNumberFormat="1" applyFont="1" applyFill="1" applyBorder="1" applyAlignment="1">
      <alignment vertical="center"/>
    </xf>
    <xf numFmtId="168" fontId="22" fillId="0" borderId="40" xfId="10" applyFont="1" applyFill="1" applyBorder="1" applyAlignment="1">
      <alignment vertical="center"/>
    </xf>
    <xf numFmtId="172" fontId="67" fillId="0" borderId="0" xfId="27" applyNumberFormat="1" applyFont="1" applyFill="1" applyAlignment="1">
      <alignment horizontal="center"/>
    </xf>
    <xf numFmtId="172" fontId="68" fillId="0" borderId="0" xfId="27" applyNumberFormat="1" applyFont="1" applyFill="1"/>
    <xf numFmtId="172" fontId="69" fillId="0" borderId="0" xfId="27" applyNumberFormat="1" applyFont="1" applyFill="1"/>
    <xf numFmtId="174" fontId="69" fillId="0" borderId="0" xfId="28" applyNumberFormat="1" applyFont="1" applyFill="1"/>
    <xf numFmtId="172" fontId="69" fillId="0" borderId="2" xfId="29" applyNumberFormat="1" applyFont="1" applyFill="1" applyBorder="1" applyAlignment="1"/>
    <xf numFmtId="172" fontId="69" fillId="0" borderId="4" xfId="27" applyNumberFormat="1" applyFont="1" applyFill="1" applyBorder="1" applyAlignment="1"/>
    <xf numFmtId="172" fontId="69" fillId="0" borderId="0" xfId="29" applyNumberFormat="1" applyFont="1" applyFill="1" applyBorder="1" applyAlignment="1"/>
    <xf numFmtId="174" fontId="69" fillId="0" borderId="14" xfId="28" applyNumberFormat="1" applyFont="1" applyFill="1" applyBorder="1"/>
    <xf numFmtId="172" fontId="69" fillId="0" borderId="10" xfId="29" applyNumberFormat="1" applyFont="1" applyFill="1" applyBorder="1" applyAlignment="1"/>
    <xf numFmtId="172" fontId="69" fillId="0" borderId="14" xfId="27" applyNumberFormat="1" applyFont="1" applyFill="1" applyBorder="1" applyAlignment="1"/>
    <xf numFmtId="172" fontId="69" fillId="0" borderId="14" xfId="29" applyNumberFormat="1" applyFont="1" applyFill="1" applyBorder="1" applyAlignment="1"/>
    <xf numFmtId="172" fontId="69" fillId="0" borderId="0" xfId="27" applyNumberFormat="1" applyFont="1" applyFill="1" applyBorder="1" applyAlignment="1"/>
    <xf numFmtId="172" fontId="69" fillId="0" borderId="10" xfId="27" applyNumberFormat="1" applyFont="1" applyFill="1" applyBorder="1" applyAlignment="1"/>
    <xf numFmtId="172" fontId="67" fillId="0" borderId="4" xfId="27" applyNumberFormat="1" applyFont="1" applyFill="1" applyBorder="1" applyAlignment="1"/>
    <xf numFmtId="172" fontId="67" fillId="0" borderId="27" xfId="27" applyNumberFormat="1" applyFont="1" applyFill="1" applyBorder="1" applyAlignment="1"/>
    <xf numFmtId="172" fontId="67" fillId="0" borderId="0" xfId="27" applyNumberFormat="1" applyFont="1" applyFill="1"/>
    <xf numFmtId="43" fontId="67" fillId="0" borderId="0" xfId="1" applyFont="1" applyFill="1" applyAlignment="1">
      <alignment horizontal="center"/>
    </xf>
    <xf numFmtId="43" fontId="69" fillId="0" borderId="0" xfId="1" applyFont="1" applyFill="1"/>
    <xf numFmtId="43" fontId="69" fillId="0" borderId="14" xfId="1" applyFont="1" applyFill="1" applyBorder="1"/>
    <xf numFmtId="43" fontId="67" fillId="0" borderId="18" xfId="1" applyFont="1" applyFill="1" applyBorder="1"/>
    <xf numFmtId="43" fontId="67" fillId="0" borderId="0" xfId="1" applyFont="1" applyFill="1"/>
    <xf numFmtId="43" fontId="67" fillId="0" borderId="0" xfId="1" applyFont="1" applyFill="1" applyBorder="1"/>
    <xf numFmtId="174" fontId="72" fillId="0" borderId="6" xfId="15" applyNumberFormat="1" applyFont="1" applyFill="1" applyBorder="1"/>
    <xf numFmtId="177" fontId="25" fillId="4" borderId="38" xfId="10" applyNumberFormat="1" applyFont="1" applyFill="1" applyBorder="1" applyAlignment="1">
      <alignment vertical="center"/>
    </xf>
    <xf numFmtId="168" fontId="25" fillId="4" borderId="13" xfId="10" applyFont="1" applyFill="1" applyBorder="1" applyAlignment="1">
      <alignment vertical="center"/>
    </xf>
    <xf numFmtId="174" fontId="25" fillId="4" borderId="37" xfId="10" applyNumberFormat="1" applyFont="1" applyFill="1" applyBorder="1" applyAlignment="1">
      <alignment vertical="center"/>
    </xf>
    <xf numFmtId="168" fontId="31" fillId="0" borderId="6" xfId="10" applyFont="1" applyFill="1" applyBorder="1" applyAlignment="1">
      <alignment vertical="top"/>
    </xf>
    <xf numFmtId="168" fontId="31" fillId="0" borderId="6" xfId="10" applyFont="1" applyBorder="1" applyAlignment="1">
      <alignment vertical="top"/>
    </xf>
    <xf numFmtId="168" fontId="154" fillId="0" borderId="6" xfId="10" applyFont="1" applyFill="1" applyBorder="1" applyAlignment="1">
      <alignment vertical="top"/>
    </xf>
    <xf numFmtId="168" fontId="154" fillId="0" borderId="6" xfId="10" applyFont="1" applyBorder="1" applyAlignment="1">
      <alignment vertical="top"/>
    </xf>
    <xf numFmtId="0" fontId="11" fillId="0" borderId="0" xfId="30" applyFill="1"/>
    <xf numFmtId="174" fontId="0" fillId="0" borderId="0" xfId="15" applyNumberFormat="1" applyFont="1" applyFill="1"/>
    <xf numFmtId="0" fontId="72" fillId="0" borderId="0" xfId="30" applyFont="1" applyFill="1"/>
    <xf numFmtId="9" fontId="73" fillId="0" borderId="0" xfId="31" applyFont="1" applyFill="1"/>
    <xf numFmtId="174" fontId="72" fillId="0" borderId="0" xfId="32" applyNumberFormat="1" applyFont="1" applyFill="1"/>
    <xf numFmtId="174" fontId="72" fillId="0" borderId="0" xfId="15" applyNumberFormat="1" applyFont="1" applyFill="1"/>
    <xf numFmtId="9" fontId="72" fillId="0" borderId="0" xfId="31" applyFont="1" applyFill="1"/>
    <xf numFmtId="9" fontId="74" fillId="0" borderId="0" xfId="31" applyFont="1" applyFill="1"/>
    <xf numFmtId="174" fontId="74" fillId="0" borderId="0" xfId="32" applyNumberFormat="1" applyFont="1" applyFill="1"/>
    <xf numFmtId="0" fontId="11" fillId="0" borderId="0" xfId="30" applyFill="1" applyAlignment="1">
      <alignment horizontal="center" vertical="center"/>
    </xf>
    <xf numFmtId="0" fontId="72" fillId="0" borderId="10" xfId="30" applyFont="1" applyFill="1" applyBorder="1" applyAlignment="1">
      <alignment horizontal="center" vertical="center"/>
    </xf>
    <xf numFmtId="174" fontId="74" fillId="0" borderId="6" xfId="32" applyNumberFormat="1" applyFont="1" applyFill="1" applyBorder="1" applyAlignment="1">
      <alignment horizontal="center" vertical="center" wrapText="1"/>
    </xf>
    <xf numFmtId="174" fontId="74" fillId="0" borderId="6" xfId="15" applyNumberFormat="1" applyFont="1" applyFill="1" applyBorder="1" applyAlignment="1">
      <alignment horizontal="center" vertical="center" wrapText="1"/>
    </xf>
    <xf numFmtId="174" fontId="74" fillId="0" borderId="14" xfId="32" applyNumberFormat="1" applyFont="1" applyFill="1" applyBorder="1" applyAlignment="1">
      <alignment horizontal="center"/>
    </xf>
    <xf numFmtId="174" fontId="74" fillId="0" borderId="10" xfId="32" applyNumberFormat="1" applyFont="1" applyFill="1" applyBorder="1"/>
    <xf numFmtId="168" fontId="74" fillId="0" borderId="14" xfId="15" applyFont="1" applyFill="1" applyBorder="1"/>
    <xf numFmtId="174" fontId="74" fillId="0" borderId="10" xfId="15" applyNumberFormat="1" applyFont="1" applyFill="1" applyBorder="1"/>
    <xf numFmtId="168" fontId="74" fillId="0" borderId="10" xfId="15" applyFont="1" applyFill="1" applyBorder="1"/>
    <xf numFmtId="0" fontId="72" fillId="0" borderId="14" xfId="32" applyNumberFormat="1" applyFont="1" applyFill="1" applyBorder="1" applyAlignment="1">
      <alignment horizontal="center"/>
    </xf>
    <xf numFmtId="174" fontId="72" fillId="0" borderId="10" xfId="32" applyNumberFormat="1" applyFont="1" applyFill="1" applyBorder="1"/>
    <xf numFmtId="168" fontId="72" fillId="0" borderId="14" xfId="15" applyFont="1" applyFill="1" applyBorder="1"/>
    <xf numFmtId="174" fontId="72" fillId="0" borderId="14" xfId="15" applyNumberFormat="1" applyFont="1" applyFill="1" applyBorder="1"/>
    <xf numFmtId="168" fontId="72" fillId="0" borderId="10" xfId="15" applyFont="1" applyFill="1" applyBorder="1"/>
    <xf numFmtId="174" fontId="72" fillId="0" borderId="10" xfId="15" applyNumberFormat="1" applyFont="1" applyFill="1" applyBorder="1"/>
    <xf numFmtId="174" fontId="74" fillId="0" borderId="10" xfId="32" applyNumberFormat="1" applyFont="1" applyFill="1" applyBorder="1" applyAlignment="1">
      <alignment horizontal="center"/>
    </xf>
    <xf numFmtId="168" fontId="74" fillId="0" borderId="6" xfId="15" applyFont="1" applyFill="1" applyBorder="1"/>
    <xf numFmtId="174" fontId="74" fillId="0" borderId="6" xfId="15" applyNumberFormat="1" applyFont="1" applyFill="1" applyBorder="1"/>
    <xf numFmtId="174" fontId="74" fillId="0" borderId="14" xfId="32" applyNumberFormat="1" applyFont="1" applyFill="1" applyBorder="1"/>
    <xf numFmtId="174" fontId="74" fillId="0" borderId="14" xfId="15" applyNumberFormat="1" applyFont="1" applyFill="1" applyBorder="1"/>
    <xf numFmtId="174" fontId="72" fillId="0" borderId="14" xfId="32" applyNumberFormat="1" applyFont="1" applyFill="1" applyBorder="1"/>
    <xf numFmtId="174" fontId="72" fillId="0" borderId="14" xfId="32" applyNumberFormat="1" applyFont="1" applyFill="1" applyBorder="1" applyAlignment="1">
      <alignment horizontal="center"/>
    </xf>
    <xf numFmtId="174" fontId="74" fillId="0" borderId="6" xfId="32" applyNumberFormat="1" applyFont="1" applyFill="1" applyBorder="1"/>
    <xf numFmtId="174" fontId="74" fillId="0" borderId="6" xfId="32" applyNumberFormat="1" applyFont="1" applyFill="1" applyBorder="1" applyAlignment="1">
      <alignment horizontal="center"/>
    </xf>
    <xf numFmtId="174" fontId="72" fillId="0" borderId="5" xfId="32" applyNumberFormat="1" applyFont="1" applyFill="1" applyBorder="1" applyAlignment="1">
      <alignment horizontal="center"/>
    </xf>
    <xf numFmtId="174" fontId="74" fillId="0" borderId="26" xfId="32" applyNumberFormat="1" applyFont="1" applyFill="1" applyBorder="1" applyAlignment="1">
      <alignment horizontal="center"/>
    </xf>
    <xf numFmtId="174" fontId="74" fillId="0" borderId="26" xfId="32" applyNumberFormat="1" applyFont="1" applyFill="1" applyBorder="1"/>
    <xf numFmtId="174" fontId="74" fillId="0" borderId="26" xfId="15" applyNumberFormat="1" applyFont="1" applyFill="1" applyBorder="1"/>
    <xf numFmtId="174" fontId="72" fillId="0" borderId="0" xfId="32" applyNumberFormat="1" applyFont="1" applyFill="1" applyAlignment="1">
      <alignment horizontal="center"/>
    </xf>
    <xf numFmtId="174" fontId="74" fillId="0" borderId="0" xfId="15" applyNumberFormat="1" applyFont="1" applyFill="1"/>
    <xf numFmtId="0" fontId="69" fillId="0" borderId="0" xfId="30" applyFont="1" applyFill="1"/>
    <xf numFmtId="174" fontId="69" fillId="0" borderId="0" xfId="30" applyNumberFormat="1" applyFont="1" applyFill="1"/>
    <xf numFmtId="174" fontId="69" fillId="0" borderId="0" xfId="15" applyNumberFormat="1" applyFont="1" applyFill="1"/>
    <xf numFmtId="0" fontId="72" fillId="0" borderId="6" xfId="30" applyFont="1" applyFill="1" applyBorder="1"/>
    <xf numFmtId="0" fontId="72" fillId="0" borderId="6" xfId="32" applyNumberFormat="1" applyFont="1" applyFill="1" applyBorder="1" applyAlignment="1">
      <alignment horizontal="center"/>
    </xf>
    <xf numFmtId="174" fontId="72" fillId="0" borderId="6" xfId="32" applyNumberFormat="1" applyFont="1" applyFill="1" applyBorder="1"/>
    <xf numFmtId="168" fontId="72" fillId="0" borderId="6" xfId="15" applyFont="1" applyFill="1" applyBorder="1"/>
    <xf numFmtId="15" fontId="11" fillId="0" borderId="0" xfId="30" applyNumberFormat="1" applyFill="1"/>
    <xf numFmtId="0" fontId="11" fillId="0" borderId="0" xfId="30" applyFont="1" applyFill="1"/>
    <xf numFmtId="14" fontId="69" fillId="0" borderId="0" xfId="30" applyNumberFormat="1" applyFont="1" applyFill="1"/>
    <xf numFmtId="0" fontId="78" fillId="0" borderId="0" xfId="137" applyFill="1"/>
    <xf numFmtId="15" fontId="78" fillId="0" borderId="0" xfId="1336" applyNumberFormat="1" applyFont="1" applyFill="1"/>
    <xf numFmtId="172" fontId="71" fillId="0" borderId="80" xfId="29" applyNumberFormat="1" applyFont="1" applyFill="1" applyBorder="1" applyAlignment="1"/>
    <xf numFmtId="177" fontId="70" fillId="0" borderId="80" xfId="28" applyNumberFormat="1" applyFont="1" applyFill="1" applyBorder="1"/>
    <xf numFmtId="43" fontId="70" fillId="0" borderId="80" xfId="1" applyFont="1" applyFill="1" applyBorder="1"/>
    <xf numFmtId="172" fontId="69" fillId="0" borderId="80" xfId="29" applyNumberFormat="1" applyFont="1" applyFill="1" applyBorder="1" applyAlignment="1"/>
    <xf numFmtId="174" fontId="67" fillId="0" borderId="80" xfId="28" applyNumberFormat="1" applyFont="1" applyFill="1" applyBorder="1" applyAlignment="1">
      <alignment horizontal="right"/>
    </xf>
    <xf numFmtId="43" fontId="67" fillId="0" borderId="80" xfId="1" applyFont="1" applyFill="1" applyBorder="1" applyAlignment="1">
      <alignment horizontal="right"/>
    </xf>
    <xf numFmtId="172" fontId="69" fillId="0" borderId="79" xfId="29" applyNumberFormat="1" applyFont="1" applyFill="1" applyBorder="1" applyAlignment="1"/>
    <xf numFmtId="174" fontId="69" fillId="0" borderId="79" xfId="28" applyNumberFormat="1" applyFont="1" applyFill="1" applyBorder="1"/>
    <xf numFmtId="43" fontId="69" fillId="0" borderId="79" xfId="1" applyFont="1" applyFill="1" applyBorder="1"/>
    <xf numFmtId="43" fontId="0" fillId="0" borderId="14" xfId="1" applyFont="1" applyBorder="1"/>
    <xf numFmtId="172" fontId="67" fillId="0" borderId="18" xfId="29" applyNumberFormat="1" applyFont="1" applyFill="1" applyBorder="1" applyAlignment="1"/>
    <xf numFmtId="172" fontId="70" fillId="0" borderId="85" xfId="27" applyNumberFormat="1" applyFont="1" applyFill="1" applyBorder="1" applyAlignment="1"/>
    <xf numFmtId="172" fontId="67" fillId="0" borderId="85" xfId="27" applyNumberFormat="1" applyFont="1" applyFill="1" applyBorder="1" applyAlignment="1"/>
    <xf numFmtId="172" fontId="69" fillId="0" borderId="81" xfId="27" applyNumberFormat="1" applyFont="1" applyFill="1" applyBorder="1" applyAlignment="1"/>
    <xf numFmtId="172" fontId="71" fillId="0" borderId="82" xfId="29" applyNumberFormat="1" applyFont="1" applyFill="1" applyBorder="1" applyAlignment="1"/>
    <xf numFmtId="172" fontId="71" fillId="0" borderId="86" xfId="29" applyNumberFormat="1" applyFont="1" applyFill="1" applyBorder="1" applyAlignment="1"/>
    <xf numFmtId="172" fontId="69" fillId="0" borderId="82" xfId="29" applyNumberFormat="1" applyFont="1" applyFill="1" applyBorder="1" applyAlignment="1"/>
    <xf numFmtId="172" fontId="69" fillId="0" borderId="86" xfId="29" applyNumberFormat="1" applyFont="1" applyFill="1" applyBorder="1" applyAlignment="1"/>
    <xf numFmtId="172" fontId="69" fillId="0" borderId="83" xfId="29" applyNumberFormat="1" applyFont="1" applyFill="1" applyBorder="1" applyAlignment="1"/>
    <xf numFmtId="172" fontId="67" fillId="0" borderId="87" xfId="29" applyNumberFormat="1" applyFont="1" applyFill="1" applyBorder="1" applyAlignment="1"/>
    <xf numFmtId="172" fontId="67" fillId="0" borderId="84" xfId="29" applyNumberFormat="1" applyFont="1" applyFill="1" applyBorder="1" applyAlignment="1"/>
    <xf numFmtId="174" fontId="49" fillId="0" borderId="14" xfId="14" applyNumberFormat="1" applyFont="1" applyFill="1" applyBorder="1"/>
    <xf numFmtId="171" fontId="49" fillId="0" borderId="14" xfId="9" applyNumberFormat="1" applyFont="1" applyFill="1" applyBorder="1" applyAlignment="1">
      <alignment horizontal="right"/>
    </xf>
    <xf numFmtId="174" fontId="49" fillId="0" borderId="14" xfId="14" applyNumberFormat="1" applyFont="1" applyFill="1" applyBorder="1" applyAlignment="1">
      <alignment horizontal="right"/>
    </xf>
    <xf numFmtId="174" fontId="49" fillId="0" borderId="13" xfId="14" applyNumberFormat="1" applyFont="1" applyFill="1" applyBorder="1"/>
    <xf numFmtId="174" fontId="49" fillId="0" borderId="10" xfId="14" applyNumberFormat="1" applyFont="1" applyFill="1" applyBorder="1"/>
    <xf numFmtId="171" fontId="49" fillId="0" borderId="10" xfId="9" applyNumberFormat="1" applyFont="1" applyFill="1" applyBorder="1" applyAlignment="1">
      <alignment horizontal="right"/>
    </xf>
    <xf numFmtId="171" fontId="49" fillId="0" borderId="10" xfId="9" applyNumberFormat="1" applyFont="1" applyFill="1" applyBorder="1"/>
    <xf numFmtId="174" fontId="49" fillId="0" borderId="10" xfId="14" applyNumberFormat="1" applyFont="1" applyFill="1" applyBorder="1" applyAlignment="1">
      <alignment horizontal="right"/>
    </xf>
    <xf numFmtId="9" fontId="48" fillId="0" borderId="3" xfId="6" applyFont="1" applyFill="1" applyBorder="1"/>
    <xf numFmtId="172" fontId="48" fillId="0" borderId="2" xfId="13" applyNumberFormat="1" applyFont="1" applyFill="1" applyBorder="1"/>
    <xf numFmtId="172" fontId="48" fillId="0" borderId="2" xfId="13" applyNumberFormat="1" applyFont="1" applyFill="1" applyBorder="1" applyAlignment="1">
      <alignment horizontal="center"/>
    </xf>
    <xf numFmtId="9" fontId="48" fillId="0" borderId="2" xfId="6" applyFont="1" applyFill="1" applyBorder="1"/>
    <xf numFmtId="37" fontId="48" fillId="0" borderId="9" xfId="9" applyNumberFormat="1" applyFont="1" applyFill="1" applyBorder="1" applyAlignment="1">
      <alignment horizontal="right"/>
    </xf>
    <xf numFmtId="9" fontId="48" fillId="0" borderId="4" xfId="6" applyFont="1" applyFill="1" applyBorder="1"/>
    <xf numFmtId="172" fontId="48" fillId="0" borderId="0" xfId="13" applyNumberFormat="1" applyFont="1" applyFill="1" applyBorder="1"/>
    <xf numFmtId="172" fontId="49" fillId="0" borderId="0" xfId="13" applyNumberFormat="1" applyFont="1" applyFill="1" applyBorder="1"/>
    <xf numFmtId="9" fontId="48" fillId="0" borderId="0" xfId="6" applyFont="1" applyFill="1" applyBorder="1"/>
    <xf numFmtId="37" fontId="48" fillId="0" borderId="10" xfId="9" applyNumberFormat="1" applyFont="1" applyFill="1" applyBorder="1" applyAlignment="1">
      <alignment horizontal="right"/>
    </xf>
    <xf numFmtId="172" fontId="48" fillId="0" borderId="0" xfId="13" applyNumberFormat="1" applyFont="1" applyFill="1" applyBorder="1" applyAlignment="1">
      <alignment horizontal="center"/>
    </xf>
    <xf numFmtId="172" fontId="49" fillId="0" borderId="4" xfId="13" applyNumberFormat="1" applyFont="1" applyFill="1" applyBorder="1"/>
    <xf numFmtId="37" fontId="48" fillId="0" borderId="0" xfId="9" applyNumberFormat="1" applyFont="1" applyFill="1" applyBorder="1" applyAlignment="1">
      <alignment horizontal="right"/>
    </xf>
    <xf numFmtId="172" fontId="48" fillId="0" borderId="81" xfId="13" applyNumberFormat="1" applyFont="1" applyFill="1" applyBorder="1" applyAlignment="1">
      <alignment horizontal="center" vertical="top" wrapText="1"/>
    </xf>
    <xf numFmtId="172" fontId="48" fillId="0" borderId="2" xfId="13" applyNumberFormat="1" applyFont="1" applyFill="1" applyBorder="1" applyAlignment="1">
      <alignment horizontal="center" vertical="top" wrapText="1"/>
    </xf>
    <xf numFmtId="172" fontId="48" fillId="0" borderId="83" xfId="13" applyNumberFormat="1" applyFont="1" applyFill="1" applyBorder="1" applyAlignment="1">
      <alignment horizontal="center" vertical="top" wrapText="1"/>
    </xf>
    <xf numFmtId="0" fontId="0" fillId="0" borderId="14" xfId="0" applyFill="1" applyBorder="1"/>
    <xf numFmtId="168" fontId="49" fillId="0" borderId="4" xfId="14" applyNumberFormat="1" applyFont="1" applyFill="1" applyBorder="1"/>
    <xf numFmtId="3" fontId="49" fillId="0" borderId="0" xfId="14" applyNumberFormat="1" applyFont="1" applyFill="1" applyBorder="1"/>
    <xf numFmtId="168" fontId="48" fillId="0" borderId="4" xfId="14" applyNumberFormat="1" applyFont="1" applyFill="1" applyBorder="1"/>
    <xf numFmtId="168" fontId="0" fillId="0" borderId="0" xfId="9" applyFont="1" applyFill="1"/>
    <xf numFmtId="49" fontId="49" fillId="0" borderId="0" xfId="13" applyNumberFormat="1" applyFont="1" applyFill="1" applyBorder="1"/>
    <xf numFmtId="171" fontId="0" fillId="0" borderId="0" xfId="0" applyNumberFormat="1" applyFill="1"/>
    <xf numFmtId="168" fontId="2" fillId="0" borderId="0" xfId="9" applyFont="1" applyFill="1"/>
    <xf numFmtId="171" fontId="49" fillId="0" borderId="13" xfId="9" applyNumberFormat="1" applyFont="1" applyFill="1" applyBorder="1"/>
    <xf numFmtId="174" fontId="49" fillId="0" borderId="13" xfId="14" applyNumberFormat="1" applyFont="1" applyFill="1" applyBorder="1" applyAlignment="1">
      <alignment horizontal="right"/>
    </xf>
    <xf numFmtId="37" fontId="48" fillId="0" borderId="14" xfId="9" applyNumberFormat="1" applyFont="1" applyFill="1" applyBorder="1" applyAlignment="1">
      <alignment horizontal="right"/>
    </xf>
    <xf numFmtId="172" fontId="48" fillId="0" borderId="0" xfId="13" applyNumberFormat="1" applyFont="1" applyFill="1" applyBorder="1" applyAlignment="1">
      <alignment horizontal="right"/>
    </xf>
    <xf numFmtId="172" fontId="50" fillId="0" borderId="0" xfId="13" applyNumberFormat="1" applyFont="1" applyFill="1" applyBorder="1"/>
    <xf numFmtId="174" fontId="48" fillId="0" borderId="14" xfId="14" applyNumberFormat="1" applyFont="1" applyFill="1" applyBorder="1" applyAlignment="1">
      <alignment horizontal="right"/>
    </xf>
    <xf numFmtId="37" fontId="48" fillId="0" borderId="79" xfId="9" applyNumberFormat="1" applyFont="1" applyFill="1" applyBorder="1" applyAlignment="1">
      <alignment horizontal="right"/>
    </xf>
    <xf numFmtId="172" fontId="49" fillId="0" borderId="0" xfId="13" applyNumberFormat="1" applyFont="1" applyFill="1" applyBorder="1" applyAlignment="1">
      <alignment horizontal="right"/>
    </xf>
    <xf numFmtId="9" fontId="49" fillId="0" borderId="4" xfId="6" applyFont="1" applyFill="1" applyBorder="1"/>
    <xf numFmtId="174" fontId="48" fillId="0" borderId="10" xfId="14" applyNumberFormat="1" applyFont="1" applyFill="1" applyBorder="1" applyAlignment="1">
      <alignment horizontal="right"/>
    </xf>
    <xf numFmtId="37" fontId="48" fillId="0" borderId="18" xfId="9" applyNumberFormat="1" applyFont="1" applyFill="1" applyBorder="1"/>
    <xf numFmtId="171" fontId="48" fillId="0" borderId="14" xfId="14" applyNumberFormat="1" applyFont="1" applyFill="1" applyBorder="1" applyAlignment="1">
      <alignment horizontal="right"/>
    </xf>
    <xf numFmtId="168" fontId="48" fillId="0" borderId="14" xfId="14" applyNumberFormat="1" applyFont="1" applyFill="1" applyBorder="1" applyAlignment="1"/>
    <xf numFmtId="174" fontId="48" fillId="0" borderId="14" xfId="14" applyNumberFormat="1" applyFont="1" applyFill="1" applyBorder="1" applyAlignment="1"/>
    <xf numFmtId="168" fontId="49" fillId="0" borderId="0" xfId="14" applyNumberFormat="1" applyFont="1" applyFill="1" applyBorder="1"/>
    <xf numFmtId="37" fontId="49" fillId="0" borderId="14" xfId="9" applyNumberFormat="1" applyFont="1" applyFill="1" applyBorder="1" applyAlignment="1">
      <alignment horizontal="right"/>
    </xf>
    <xf numFmtId="0" fontId="51" fillId="0" borderId="0" xfId="13" applyNumberFormat="1" applyFont="1" applyFill="1" applyBorder="1" applyAlignment="1">
      <alignment vertical="top"/>
    </xf>
    <xf numFmtId="172" fontId="48" fillId="0" borderId="0" xfId="13" applyNumberFormat="1" applyFont="1" applyFill="1" applyBorder="1" applyAlignment="1">
      <alignment horizontal="left"/>
    </xf>
    <xf numFmtId="37" fontId="49" fillId="0" borderId="13" xfId="9" applyNumberFormat="1" applyFont="1" applyFill="1" applyBorder="1" applyAlignment="1">
      <alignment horizontal="right"/>
    </xf>
    <xf numFmtId="174" fontId="52" fillId="0" borderId="10" xfId="14" applyNumberFormat="1" applyFont="1" applyFill="1" applyBorder="1" applyAlignment="1">
      <alignment horizontal="right"/>
    </xf>
    <xf numFmtId="37" fontId="49" fillId="0" borderId="14" xfId="9" applyNumberFormat="1" applyFont="1" applyFill="1" applyBorder="1"/>
    <xf numFmtId="168" fontId="48" fillId="0" borderId="0" xfId="14" applyNumberFormat="1" applyFont="1" applyFill="1" applyBorder="1" applyAlignment="1">
      <alignment horizontal="right"/>
    </xf>
    <xf numFmtId="168" fontId="49" fillId="0" borderId="14" xfId="9" applyFont="1" applyFill="1" applyBorder="1" applyAlignment="1">
      <alignment horizontal="right"/>
    </xf>
    <xf numFmtId="168" fontId="48" fillId="0" borderId="0" xfId="14" applyNumberFormat="1" applyFont="1" applyFill="1" applyBorder="1"/>
    <xf numFmtId="37" fontId="48" fillId="0" borderId="80" xfId="9" applyNumberFormat="1" applyFont="1" applyFill="1" applyBorder="1" applyAlignment="1">
      <alignment horizontal="right"/>
    </xf>
    <xf numFmtId="172" fontId="49" fillId="0" borderId="5" xfId="13" applyNumberFormat="1" applyFont="1" applyFill="1" applyBorder="1"/>
    <xf numFmtId="172" fontId="49" fillId="0" borderId="1" xfId="13" applyNumberFormat="1" applyFont="1" applyFill="1" applyBorder="1"/>
    <xf numFmtId="174" fontId="49" fillId="0" borderId="24" xfId="14" applyNumberFormat="1" applyFont="1" applyFill="1" applyBorder="1"/>
    <xf numFmtId="37" fontId="49" fillId="0" borderId="9" xfId="9" applyNumberFormat="1" applyFont="1" applyFill="1" applyBorder="1" applyAlignment="1">
      <alignment horizontal="right"/>
    </xf>
    <xf numFmtId="172" fontId="48" fillId="0" borderId="20" xfId="13" applyNumberFormat="1" applyFont="1" applyFill="1" applyBorder="1"/>
    <xf numFmtId="37" fontId="49" fillId="0" borderId="10" xfId="9" applyNumberFormat="1" applyFont="1" applyFill="1" applyBorder="1" applyAlignment="1">
      <alignment horizontal="right"/>
    </xf>
    <xf numFmtId="172" fontId="48" fillId="0" borderId="46" xfId="13" applyNumberFormat="1" applyFont="1" applyFill="1" applyBorder="1" applyAlignment="1">
      <alignment horizontal="left"/>
    </xf>
    <xf numFmtId="172" fontId="48" fillId="0" borderId="49" xfId="13" applyNumberFormat="1" applyFont="1" applyFill="1" applyBorder="1" applyAlignment="1">
      <alignment horizontal="center"/>
    </xf>
    <xf numFmtId="172" fontId="48" fillId="0" borderId="50" xfId="13" applyNumberFormat="1" applyFont="1" applyFill="1" applyBorder="1" applyAlignment="1">
      <alignment horizontal="center"/>
    </xf>
    <xf numFmtId="172" fontId="49" fillId="0" borderId="4" xfId="13" applyNumberFormat="1" applyFont="1" applyFill="1" applyBorder="1" applyAlignment="1">
      <alignment horizontal="left"/>
    </xf>
    <xf numFmtId="174" fontId="49" fillId="0" borderId="11" xfId="14" applyNumberFormat="1" applyFont="1" applyFill="1" applyBorder="1" applyAlignment="1">
      <alignment horizontal="center"/>
    </xf>
    <xf numFmtId="174" fontId="49" fillId="0" borderId="51" xfId="14" applyNumberFormat="1" applyFont="1" applyFill="1" applyBorder="1" applyAlignment="1">
      <alignment horizontal="right"/>
    </xf>
    <xf numFmtId="174" fontId="49" fillId="0" borderId="21" xfId="14" applyNumberFormat="1" applyFont="1" applyFill="1" applyBorder="1" applyAlignment="1">
      <alignment horizontal="right"/>
    </xf>
    <xf numFmtId="174" fontId="48" fillId="0" borderId="49" xfId="14" applyNumberFormat="1" applyFont="1" applyFill="1" applyBorder="1" applyAlignment="1">
      <alignment horizontal="center"/>
    </xf>
    <xf numFmtId="174" fontId="48" fillId="0" borderId="19" xfId="14" applyNumberFormat="1" applyFont="1" applyFill="1" applyBorder="1" applyAlignment="1">
      <alignment horizontal="center"/>
    </xf>
    <xf numFmtId="172" fontId="48" fillId="0" borderId="21" xfId="13" applyNumberFormat="1" applyFont="1" applyFill="1" applyBorder="1" applyAlignment="1">
      <alignment horizontal="center"/>
    </xf>
    <xf numFmtId="174" fontId="48" fillId="0" borderId="21" xfId="14" applyNumberFormat="1" applyFont="1" applyFill="1" applyBorder="1" applyAlignment="1">
      <alignment horizontal="center"/>
    </xf>
    <xf numFmtId="37" fontId="48" fillId="0" borderId="0" xfId="9" applyNumberFormat="1" applyFont="1" applyFill="1" applyBorder="1" applyAlignment="1">
      <alignment horizontal="center"/>
    </xf>
    <xf numFmtId="172" fontId="48" fillId="0" borderId="19" xfId="13" applyNumberFormat="1" applyFont="1" applyFill="1" applyBorder="1" applyAlignment="1">
      <alignment horizontal="center"/>
    </xf>
    <xf numFmtId="37" fontId="48" fillId="0" borderId="22" xfId="9" applyNumberFormat="1" applyFont="1" applyFill="1" applyBorder="1" applyAlignment="1">
      <alignment horizontal="right"/>
    </xf>
    <xf numFmtId="174" fontId="49" fillId="0" borderId="52" xfId="14" applyNumberFormat="1" applyFont="1" applyFill="1" applyBorder="1" applyAlignment="1">
      <alignment horizontal="center"/>
    </xf>
    <xf numFmtId="174" fontId="49" fillId="0" borderId="53" xfId="14" applyNumberFormat="1" applyFont="1" applyFill="1" applyBorder="1" applyAlignment="1">
      <alignment horizontal="right"/>
    </xf>
    <xf numFmtId="172" fontId="48" fillId="0" borderId="4" xfId="13" applyNumberFormat="1" applyFont="1" applyFill="1" applyBorder="1" applyAlignment="1">
      <alignment horizontal="left"/>
    </xf>
    <xf numFmtId="174" fontId="49" fillId="0" borderId="54" xfId="14" applyNumberFormat="1" applyFont="1" applyFill="1" applyBorder="1" applyAlignment="1">
      <alignment horizontal="right"/>
    </xf>
    <xf numFmtId="37" fontId="49" fillId="0" borderId="22" xfId="9" applyNumberFormat="1" applyFont="1" applyFill="1" applyBorder="1" applyAlignment="1">
      <alignment horizontal="right"/>
    </xf>
    <xf numFmtId="174" fontId="48" fillId="0" borderId="50" xfId="14" applyNumberFormat="1" applyFont="1" applyFill="1" applyBorder="1" applyAlignment="1">
      <alignment horizontal="center"/>
    </xf>
    <xf numFmtId="37" fontId="48" fillId="0" borderId="47" xfId="9" applyNumberFormat="1" applyFont="1" applyFill="1" applyBorder="1" applyAlignment="1">
      <alignment horizontal="center"/>
    </xf>
    <xf numFmtId="172" fontId="48" fillId="0" borderId="4" xfId="13" applyNumberFormat="1" applyFont="1" applyFill="1" applyBorder="1" applyAlignment="1">
      <alignment horizontal="center"/>
    </xf>
    <xf numFmtId="174" fontId="48" fillId="0" borderId="0" xfId="14" applyNumberFormat="1" applyFont="1" applyFill="1" applyBorder="1" applyAlignment="1">
      <alignment horizontal="center"/>
    </xf>
    <xf numFmtId="37" fontId="48" fillId="0" borderId="10" xfId="9" applyNumberFormat="1" applyFont="1" applyFill="1" applyBorder="1" applyAlignment="1">
      <alignment horizontal="center"/>
    </xf>
    <xf numFmtId="172" fontId="49" fillId="0" borderId="0" xfId="13" applyNumberFormat="1" applyFont="1" applyFill="1"/>
    <xf numFmtId="174" fontId="49" fillId="0" borderId="0" xfId="14" applyNumberFormat="1" applyFont="1" applyFill="1"/>
    <xf numFmtId="37" fontId="49" fillId="0" borderId="0" xfId="9" applyNumberFormat="1" applyFont="1" applyFill="1" applyAlignment="1">
      <alignment horizontal="right"/>
    </xf>
    <xf numFmtId="172" fontId="48" fillId="0" borderId="0" xfId="13" applyNumberFormat="1" applyFont="1" applyFill="1"/>
    <xf numFmtId="174" fontId="49" fillId="0" borderId="2" xfId="14" applyNumberFormat="1" applyFont="1" applyFill="1" applyBorder="1"/>
    <xf numFmtId="174" fontId="48" fillId="0" borderId="2" xfId="14" applyNumberFormat="1" applyFont="1" applyFill="1" applyBorder="1"/>
    <xf numFmtId="37" fontId="49" fillId="0" borderId="0" xfId="9" applyNumberFormat="1" applyFont="1" applyFill="1"/>
    <xf numFmtId="174" fontId="48" fillId="0" borderId="0" xfId="14" applyNumberFormat="1" applyFont="1" applyFill="1"/>
    <xf numFmtId="174" fontId="49" fillId="0" borderId="0" xfId="13" applyNumberFormat="1" applyFont="1" applyFill="1"/>
    <xf numFmtId="172" fontId="53" fillId="0" borderId="0" xfId="13" applyNumberFormat="1" applyFont="1" applyFill="1"/>
    <xf numFmtId="9" fontId="48" fillId="0" borderId="0" xfId="2" applyFont="1" applyFill="1"/>
    <xf numFmtId="9" fontId="49" fillId="0" borderId="0" xfId="2" applyFont="1" applyFill="1"/>
    <xf numFmtId="171" fontId="49" fillId="0" borderId="0" xfId="9" applyNumberFormat="1" applyFont="1" applyFill="1"/>
    <xf numFmtId="181" fontId="54" fillId="0" borderId="9" xfId="18" applyNumberFormat="1" applyFont="1" applyFill="1" applyBorder="1"/>
    <xf numFmtId="181" fontId="54" fillId="0" borderId="10" xfId="18" applyNumberFormat="1" applyFont="1" applyFill="1" applyBorder="1"/>
    <xf numFmtId="171" fontId="48" fillId="0" borderId="0" xfId="13" applyNumberFormat="1" applyFont="1" applyFill="1"/>
    <xf numFmtId="181" fontId="55" fillId="0" borderId="10" xfId="18" applyNumberFormat="1" applyFont="1" applyFill="1" applyBorder="1"/>
    <xf numFmtId="179" fontId="54" fillId="0" borderId="24" xfId="17" applyFont="1" applyFill="1" applyBorder="1"/>
    <xf numFmtId="172" fontId="48" fillId="0" borderId="15" xfId="13" applyNumberFormat="1" applyFont="1" applyFill="1" applyBorder="1"/>
    <xf numFmtId="172" fontId="49" fillId="0" borderId="15" xfId="13" applyNumberFormat="1" applyFont="1" applyFill="1" applyBorder="1"/>
    <xf numFmtId="172" fontId="48" fillId="0" borderId="6" xfId="13" applyNumberFormat="1" applyFont="1" applyFill="1" applyBorder="1"/>
    <xf numFmtId="171" fontId="49" fillId="0" borderId="0" xfId="13" applyNumberFormat="1" applyFont="1" applyFill="1"/>
    <xf numFmtId="172" fontId="49" fillId="0" borderId="3" xfId="13" applyNumberFormat="1" applyFont="1" applyFill="1" applyBorder="1"/>
    <xf numFmtId="172" fontId="49" fillId="0" borderId="9" xfId="13" applyNumberFormat="1" applyFont="1" applyFill="1" applyBorder="1"/>
    <xf numFmtId="172" fontId="49" fillId="0" borderId="25" xfId="13" applyNumberFormat="1" applyFont="1" applyFill="1" applyBorder="1"/>
    <xf numFmtId="172" fontId="49" fillId="0" borderId="6" xfId="13" applyNumberFormat="1" applyFont="1" applyFill="1" applyBorder="1"/>
    <xf numFmtId="171" fontId="49" fillId="0" borderId="5" xfId="9" applyNumberFormat="1" applyFont="1" applyFill="1" applyBorder="1"/>
    <xf numFmtId="172" fontId="49" fillId="0" borderId="24" xfId="13" applyNumberFormat="1" applyFont="1" applyFill="1" applyBorder="1"/>
    <xf numFmtId="171" fontId="49" fillId="0" borderId="25" xfId="9" applyNumberFormat="1" applyFont="1" applyFill="1" applyBorder="1"/>
    <xf numFmtId="171" fontId="49" fillId="0" borderId="6" xfId="9" applyNumberFormat="1" applyFont="1" applyFill="1" applyBorder="1"/>
    <xf numFmtId="172" fontId="14" fillId="0" borderId="4" xfId="125" applyNumberFormat="1" applyFont="1" applyFill="1" applyBorder="1"/>
    <xf numFmtId="172" fontId="16" fillId="0" borderId="0" xfId="125" applyNumberFormat="1" applyFont="1" applyFill="1" applyBorder="1" applyAlignment="1">
      <alignment horizontal="center"/>
    </xf>
    <xf numFmtId="172" fontId="16" fillId="0" borderId="10" xfId="125" applyNumberFormat="1" applyFont="1" applyFill="1" applyBorder="1" applyAlignment="1">
      <alignment horizontal="center"/>
    </xf>
    <xf numFmtId="172" fontId="15" fillId="0" borderId="5" xfId="125" applyNumberFormat="1" applyFont="1" applyFill="1" applyBorder="1" applyAlignment="1">
      <alignment horizontal="center"/>
    </xf>
    <xf numFmtId="172" fontId="15" fillId="0" borderId="1" xfId="125" applyNumberFormat="1" applyFont="1" applyFill="1" applyBorder="1" applyAlignment="1">
      <alignment horizontal="center"/>
    </xf>
    <xf numFmtId="172" fontId="15" fillId="0" borderId="24" xfId="125" applyNumberFormat="1" applyFont="1" applyFill="1" applyBorder="1" applyAlignment="1">
      <alignment horizontal="center"/>
    </xf>
    <xf numFmtId="0" fontId="157" fillId="0" borderId="80" xfId="0" applyFont="1" applyFill="1" applyBorder="1"/>
    <xf numFmtId="0" fontId="157" fillId="0" borderId="80" xfId="0" applyFont="1" applyFill="1" applyBorder="1" applyAlignment="1">
      <alignment horizontal="right"/>
    </xf>
    <xf numFmtId="0" fontId="18" fillId="0" borderId="14" xfId="0" applyFont="1" applyFill="1" applyBorder="1"/>
    <xf numFmtId="0" fontId="157" fillId="0" borderId="14" xfId="0" applyFont="1" applyFill="1" applyBorder="1"/>
    <xf numFmtId="171" fontId="157" fillId="0" borderId="80" xfId="9" applyNumberFormat="1" applyFont="1" applyFill="1" applyBorder="1"/>
    <xf numFmtId="171" fontId="18" fillId="0" borderId="14" xfId="9" applyNumberFormat="1" applyFont="1" applyFill="1" applyBorder="1"/>
    <xf numFmtId="171" fontId="157" fillId="0" borderId="14" xfId="9" applyNumberFormat="1" applyFont="1" applyFill="1" applyBorder="1"/>
    <xf numFmtId="171" fontId="18" fillId="0" borderId="80" xfId="0" applyNumberFormat="1" applyFont="1" applyFill="1" applyBorder="1"/>
    <xf numFmtId="0" fontId="18" fillId="0" borderId="4" xfId="0" applyFont="1" applyFill="1" applyBorder="1"/>
    <xf numFmtId="0" fontId="18" fillId="0" borderId="0" xfId="0" applyFont="1" applyFill="1" applyBorder="1"/>
    <xf numFmtId="0" fontId="18" fillId="0" borderId="10" xfId="0" applyFont="1" applyFill="1" applyBorder="1"/>
    <xf numFmtId="171" fontId="0" fillId="0" borderId="0" xfId="0" applyNumberFormat="1"/>
    <xf numFmtId="0" fontId="72" fillId="0" borderId="80" xfId="32" applyNumberFormat="1" applyFont="1" applyFill="1" applyBorder="1" applyAlignment="1">
      <alignment horizontal="center"/>
    </xf>
    <xf numFmtId="168" fontId="11" fillId="0" borderId="14" xfId="553" applyNumberFormat="1" applyBorder="1"/>
    <xf numFmtId="0" fontId="11" fillId="0" borderId="14" xfId="553" applyBorder="1"/>
    <xf numFmtId="174" fontId="0" fillId="0" borderId="14" xfId="15" applyNumberFormat="1" applyFont="1" applyBorder="1"/>
    <xf numFmtId="174" fontId="11" fillId="0" borderId="14" xfId="553" applyNumberFormat="1" applyBorder="1"/>
    <xf numFmtId="0" fontId="11" fillId="0" borderId="79" xfId="553" applyBorder="1"/>
    <xf numFmtId="168" fontId="11" fillId="0" borderId="79" xfId="553" applyNumberFormat="1" applyBorder="1"/>
    <xf numFmtId="171" fontId="14" fillId="0" borderId="79" xfId="9" applyNumberFormat="1" applyFont="1" applyFill="1" applyBorder="1" applyAlignment="1">
      <alignment horizontal="right"/>
    </xf>
    <xf numFmtId="174" fontId="0" fillId="0" borderId="79" xfId="15" applyNumberFormat="1" applyFont="1" applyBorder="1"/>
    <xf numFmtId="174" fontId="2" fillId="0" borderId="79" xfId="15" applyNumberFormat="1" applyFont="1" applyFill="1" applyBorder="1"/>
    <xf numFmtId="174" fontId="74" fillId="0" borderId="13" xfId="32" applyNumberFormat="1" applyFont="1" applyBorder="1" applyAlignment="1">
      <alignment horizontal="center"/>
    </xf>
    <xf numFmtId="0" fontId="72" fillId="0" borderId="13" xfId="32" applyNumberFormat="1" applyFont="1" applyBorder="1" applyAlignment="1">
      <alignment horizontal="center"/>
    </xf>
    <xf numFmtId="174" fontId="72" fillId="0" borderId="14" xfId="32" applyNumberFormat="1" applyFont="1" applyBorder="1"/>
    <xf numFmtId="0" fontId="72" fillId="0" borderId="14" xfId="32" applyNumberFormat="1" applyFont="1" applyBorder="1" applyAlignment="1">
      <alignment horizontal="center"/>
    </xf>
    <xf numFmtId="174" fontId="74" fillId="0" borderId="79" xfId="32" applyNumberFormat="1" applyFont="1" applyBorder="1"/>
    <xf numFmtId="174" fontId="74" fillId="0" borderId="79" xfId="32" applyNumberFormat="1" applyFont="1" applyBorder="1" applyAlignment="1">
      <alignment horizontal="center"/>
    </xf>
    <xf numFmtId="174" fontId="75" fillId="62" borderId="80" xfId="32" applyNumberFormat="1" applyFont="1" applyFill="1" applyBorder="1" applyAlignment="1">
      <alignment horizontal="center" vertical="center" wrapText="1"/>
    </xf>
    <xf numFmtId="174" fontId="75" fillId="63" borderId="80" xfId="15" applyNumberFormat="1" applyFont="1" applyFill="1" applyBorder="1" applyAlignment="1">
      <alignment horizontal="center" vertical="center" wrapText="1"/>
    </xf>
    <xf numFmtId="174" fontId="75" fillId="64" borderId="80" xfId="15" applyNumberFormat="1" applyFont="1" applyFill="1" applyBorder="1" applyAlignment="1">
      <alignment horizontal="center" vertical="center" wrapText="1"/>
    </xf>
    <xf numFmtId="0" fontId="158" fillId="0" borderId="4" xfId="553" applyFont="1" applyBorder="1"/>
    <xf numFmtId="0" fontId="158" fillId="0" borderId="14" xfId="30" applyFont="1" applyFill="1" applyBorder="1"/>
    <xf numFmtId="0" fontId="14" fillId="0" borderId="4" xfId="0" applyFont="1" applyFill="1" applyBorder="1" applyAlignment="1">
      <alignment horizontal="left" vertical="top" wrapText="1"/>
    </xf>
    <xf numFmtId="0" fontId="15" fillId="0" borderId="4" xfId="0" applyFont="1" applyFill="1" applyBorder="1" applyAlignment="1">
      <alignment horizontal="left" vertical="top" wrapText="1"/>
    </xf>
    <xf numFmtId="49" fontId="6" fillId="0" borderId="80" xfId="0" applyNumberFormat="1" applyFont="1" applyBorder="1" applyAlignment="1">
      <alignment horizontal="center" vertical="top"/>
    </xf>
    <xf numFmtId="49" fontId="5" fillId="0" borderId="82" xfId="0" applyNumberFormat="1" applyFont="1" applyBorder="1" applyAlignment="1">
      <alignment horizontal="left" vertical="top" indent="2"/>
    </xf>
    <xf numFmtId="169" fontId="5" fillId="0" borderId="82" xfId="0" applyNumberFormat="1" applyFont="1" applyBorder="1" applyAlignment="1">
      <alignment horizontal="right" vertical="top"/>
    </xf>
    <xf numFmtId="0" fontId="2" fillId="0" borderId="0" xfId="0" applyFont="1" applyBorder="1"/>
    <xf numFmtId="0" fontId="0" fillId="0" borderId="0" xfId="0" applyAlignment="1">
      <alignment horizontal="center"/>
    </xf>
    <xf numFmtId="0" fontId="2" fillId="0" borderId="1" xfId="0" applyFont="1" applyBorder="1" applyAlignment="1">
      <alignment vertical="center"/>
    </xf>
    <xf numFmtId="0" fontId="2" fillId="0" borderId="0" xfId="0" applyFont="1" applyAlignment="1"/>
    <xf numFmtId="0" fontId="2" fillId="0" borderId="80" xfId="0" applyFont="1" applyBorder="1" applyAlignment="1">
      <alignment horizontal="center" vertical="center"/>
    </xf>
    <xf numFmtId="0" fontId="2" fillId="0" borderId="5" xfId="0" applyFont="1" applyBorder="1" applyAlignment="1">
      <alignment horizontal="center" vertical="center"/>
    </xf>
    <xf numFmtId="0" fontId="0" fillId="0" borderId="4" xfId="0" applyBorder="1"/>
    <xf numFmtId="0" fontId="0" fillId="0" borderId="79" xfId="0" applyBorder="1"/>
    <xf numFmtId="0" fontId="2" fillId="0" borderId="0" xfId="0" applyFont="1" applyBorder="1" applyAlignment="1">
      <alignment horizontal="center" vertical="center"/>
    </xf>
    <xf numFmtId="0" fontId="2" fillId="0" borderId="83" xfId="0" applyFont="1" applyBorder="1" applyAlignment="1">
      <alignment horizontal="center" vertical="center"/>
    </xf>
    <xf numFmtId="43" fontId="2" fillId="0" borderId="79" xfId="1" applyFont="1" applyBorder="1" applyAlignment="1">
      <alignment horizontal="center"/>
    </xf>
    <xf numFmtId="43" fontId="2" fillId="0" borderId="2" xfId="1" applyFont="1" applyBorder="1" applyAlignment="1">
      <alignment horizontal="center"/>
    </xf>
    <xf numFmtId="0" fontId="0" fillId="0" borderId="14" xfId="0" applyBorder="1"/>
    <xf numFmtId="0" fontId="0" fillId="0" borderId="10" xfId="0" applyBorder="1"/>
    <xf numFmtId="43" fontId="0" fillId="0" borderId="14" xfId="1" applyFont="1" applyBorder="1" applyAlignment="1">
      <alignment horizontal="center" vertical="center"/>
    </xf>
    <xf numFmtId="43" fontId="0" fillId="0" borderId="0" xfId="1" applyFont="1" applyBorder="1" applyAlignment="1">
      <alignment horizontal="center" vertical="center"/>
    </xf>
    <xf numFmtId="0" fontId="0" fillId="0" borderId="0" xfId="0" applyBorder="1"/>
    <xf numFmtId="43" fontId="0" fillId="0" borderId="13" xfId="1" applyFont="1" applyBorder="1"/>
    <xf numFmtId="43" fontId="0" fillId="0" borderId="1" xfId="1" applyFont="1" applyBorder="1" applyAlignment="1">
      <alignment vertical="center"/>
    </xf>
    <xf numFmtId="43" fontId="0" fillId="0" borderId="22" xfId="1" applyFont="1" applyBorder="1" applyAlignment="1">
      <alignment horizontal="center"/>
    </xf>
    <xf numFmtId="43" fontId="0" fillId="0" borderId="0" xfId="1" applyFont="1" applyBorder="1" applyAlignment="1">
      <alignment vertical="center"/>
    </xf>
    <xf numFmtId="43" fontId="0" fillId="0" borderId="0" xfId="1" applyFont="1" applyBorder="1"/>
    <xf numFmtId="0" fontId="0" fillId="0" borderId="0" xfId="0" applyBorder="1" applyAlignment="1"/>
    <xf numFmtId="0" fontId="0" fillId="0" borderId="10" xfId="0" applyBorder="1" applyAlignment="1"/>
    <xf numFmtId="43" fontId="0" fillId="0" borderId="14" xfId="1" applyFont="1" applyBorder="1" applyAlignment="1">
      <alignment vertical="center"/>
    </xf>
    <xf numFmtId="43" fontId="0" fillId="0" borderId="13" xfId="1" applyFont="1" applyBorder="1" applyAlignment="1">
      <alignment vertical="center"/>
    </xf>
    <xf numFmtId="43" fontId="0" fillId="0" borderId="22" xfId="1" applyFont="1" applyBorder="1" applyAlignment="1">
      <alignment horizontal="center" vertical="center"/>
    </xf>
    <xf numFmtId="1" fontId="161" fillId="0" borderId="14" xfId="1337" applyNumberFormat="1" applyFont="1" applyFill="1" applyBorder="1" applyAlignment="1"/>
    <xf numFmtId="0" fontId="0" fillId="0" borderId="5" xfId="0" applyBorder="1"/>
    <xf numFmtId="0" fontId="0" fillId="0" borderId="13" xfId="0" applyBorder="1"/>
    <xf numFmtId="0" fontId="0" fillId="0" borderId="1" xfId="0" applyBorder="1"/>
    <xf numFmtId="0" fontId="0" fillId="0" borderId="24" xfId="0" applyBorder="1"/>
    <xf numFmtId="0" fontId="0" fillId="0" borderId="2" xfId="0" applyBorder="1"/>
    <xf numFmtId="0" fontId="0" fillId="0" borderId="0" xfId="0" applyAlignment="1">
      <alignment horizontal="right" vertical="top"/>
    </xf>
    <xf numFmtId="0" fontId="0" fillId="0" borderId="0" xfId="0" applyAlignment="1">
      <alignment horizontal="right"/>
    </xf>
    <xf numFmtId="167" fontId="162" fillId="0" borderId="0" xfId="6" applyNumberFormat="1" applyFont="1" applyFill="1" applyBorder="1" applyAlignment="1">
      <alignment horizontal="center" vertical="center"/>
    </xf>
    <xf numFmtId="167" fontId="162" fillId="0" borderId="21" xfId="6" applyNumberFormat="1" applyFont="1" applyFill="1" applyBorder="1" applyAlignment="1">
      <alignment horizontal="center" vertical="center"/>
    </xf>
    <xf numFmtId="43" fontId="163" fillId="0" borderId="14" xfId="1" applyFont="1" applyFill="1" applyBorder="1" applyAlignment="1">
      <alignment horizontal="right" vertical="center"/>
    </xf>
    <xf numFmtId="43" fontId="14" fillId="0" borderId="14" xfId="1" applyFont="1" applyFill="1" applyBorder="1" applyAlignment="1">
      <alignment vertical="center" wrapText="1"/>
    </xf>
    <xf numFmtId="43" fontId="15" fillId="0" borderId="14" xfId="1" applyFont="1" applyFill="1" applyBorder="1" applyAlignment="1">
      <alignment horizontal="right" wrapText="1"/>
    </xf>
    <xf numFmtId="43" fontId="14" fillId="0" borderId="14" xfId="1" applyFont="1" applyFill="1" applyBorder="1" applyAlignment="1">
      <alignment horizontal="center" vertical="center"/>
    </xf>
    <xf numFmtId="43" fontId="15" fillId="0" borderId="14" xfId="1" applyFont="1" applyFill="1" applyBorder="1" applyAlignment="1">
      <alignment horizontal="center" vertical="center"/>
    </xf>
    <xf numFmtId="0" fontId="15" fillId="0" borderId="79" xfId="0" applyFont="1" applyFill="1" applyBorder="1" applyAlignment="1">
      <alignment horizontal="left" vertical="top" wrapText="1"/>
    </xf>
    <xf numFmtId="43" fontId="15" fillId="0" borderId="80" xfId="1" applyFont="1" applyFill="1" applyBorder="1" applyAlignment="1">
      <alignment horizontal="center" vertical="center"/>
    </xf>
    <xf numFmtId="0" fontId="15" fillId="0" borderId="80" xfId="0" applyFont="1" applyFill="1" applyBorder="1" applyAlignment="1">
      <alignment horizontal="left" vertical="top" wrapText="1"/>
    </xf>
    <xf numFmtId="43" fontId="15" fillId="0" borderId="79" xfId="1" applyFont="1" applyFill="1" applyBorder="1" applyAlignment="1">
      <alignment horizontal="center" vertical="center"/>
    </xf>
    <xf numFmtId="0" fontId="15" fillId="0" borderId="12" xfId="0" applyFont="1" applyFill="1" applyBorder="1" applyAlignment="1">
      <alignment vertical="center" wrapText="1"/>
    </xf>
    <xf numFmtId="43" fontId="15" fillId="0" borderId="88" xfId="1" applyFont="1" applyFill="1" applyBorder="1" applyAlignment="1">
      <alignment horizontal="center" vertical="center"/>
    </xf>
    <xf numFmtId="43" fontId="15" fillId="0" borderId="89" xfId="1" applyFont="1" applyFill="1" applyBorder="1" applyAlignment="1">
      <alignment horizontal="center" vertical="center"/>
    </xf>
    <xf numFmtId="0" fontId="15" fillId="0" borderId="29" xfId="0" applyFont="1" applyFill="1" applyBorder="1" applyAlignment="1">
      <alignment vertical="center" wrapText="1"/>
    </xf>
    <xf numFmtId="43" fontId="15" fillId="0" borderId="10" xfId="1" applyFont="1" applyFill="1" applyBorder="1" applyAlignment="1">
      <alignment horizontal="center" vertical="center"/>
    </xf>
    <xf numFmtId="0" fontId="15" fillId="0" borderId="14" xfId="0" applyFont="1" applyFill="1" applyBorder="1" applyAlignment="1">
      <alignment vertical="center"/>
    </xf>
    <xf numFmtId="43" fontId="14" fillId="0" borderId="10" xfId="1" applyFont="1" applyFill="1" applyBorder="1" applyAlignment="1">
      <alignment horizontal="center" vertical="center"/>
    </xf>
    <xf numFmtId="0" fontId="15" fillId="0" borderId="80" xfId="0" applyFont="1" applyFill="1" applyBorder="1" applyAlignment="1">
      <alignment vertical="center" wrapText="1"/>
    </xf>
    <xf numFmtId="0" fontId="15" fillId="0" borderId="80" xfId="0" applyFont="1" applyFill="1" applyBorder="1" applyAlignment="1">
      <alignment vertical="center"/>
    </xf>
    <xf numFmtId="0" fontId="15" fillId="0" borderId="90" xfId="0" applyFont="1" applyFill="1" applyBorder="1" applyAlignment="1">
      <alignment vertical="center" wrapText="1"/>
    </xf>
    <xf numFmtId="0" fontId="15" fillId="0" borderId="91" xfId="0" applyFont="1" applyFill="1" applyBorder="1" applyAlignment="1">
      <alignment vertical="center"/>
    </xf>
    <xf numFmtId="43" fontId="15" fillId="0" borderId="92" xfId="1" applyFont="1" applyFill="1" applyBorder="1" applyAlignment="1">
      <alignment horizontal="center" vertical="center"/>
    </xf>
    <xf numFmtId="0" fontId="1" fillId="0" borderId="93" xfId="0" applyFont="1" applyBorder="1"/>
    <xf numFmtId="0" fontId="1" fillId="0" borderId="0" xfId="0" applyFont="1"/>
    <xf numFmtId="0" fontId="0" fillId="0" borderId="0" xfId="0" applyAlignment="1">
      <alignment wrapText="1"/>
    </xf>
    <xf numFmtId="172" fontId="15" fillId="0" borderId="4" xfId="1338" applyNumberFormat="1" applyFont="1" applyFill="1" applyBorder="1" applyAlignment="1">
      <alignment horizontal="center"/>
    </xf>
    <xf numFmtId="172" fontId="15" fillId="0" borderId="0" xfId="1338" applyNumberFormat="1" applyFont="1" applyFill="1" applyBorder="1" applyAlignment="1">
      <alignment horizontal="center"/>
    </xf>
    <xf numFmtId="172" fontId="15" fillId="0" borderId="5" xfId="1338" applyNumberFormat="1" applyFont="1" applyFill="1" applyBorder="1" applyAlignment="1">
      <alignment horizontal="center"/>
    </xf>
    <xf numFmtId="43" fontId="15" fillId="0" borderId="1" xfId="1" applyFont="1" applyFill="1" applyBorder="1" applyAlignment="1">
      <alignment horizontal="center"/>
    </xf>
    <xf numFmtId="43" fontId="157" fillId="0" borderId="80" xfId="1" applyFont="1" applyFill="1" applyBorder="1"/>
    <xf numFmtId="43" fontId="18" fillId="0" borderId="14" xfId="1" applyFont="1" applyFill="1" applyBorder="1"/>
    <xf numFmtId="227" fontId="18" fillId="0" borderId="14" xfId="1" applyNumberFormat="1" applyFont="1" applyFill="1" applyBorder="1"/>
    <xf numFmtId="227" fontId="157" fillId="0" borderId="80" xfId="1" applyNumberFormat="1" applyFont="1" applyFill="1" applyBorder="1"/>
    <xf numFmtId="0" fontId="157" fillId="0" borderId="80" xfId="0" applyFont="1" applyFill="1" applyBorder="1" applyAlignment="1">
      <alignment wrapText="1"/>
    </xf>
    <xf numFmtId="227" fontId="18" fillId="0" borderId="80" xfId="1" applyNumberFormat="1" applyFont="1" applyFill="1" applyBorder="1"/>
    <xf numFmtId="0" fontId="2" fillId="0" borderId="80" xfId="0" applyFont="1" applyBorder="1" applyAlignment="1"/>
    <xf numFmtId="43" fontId="0" fillId="0" borderId="14" xfId="1" applyFont="1" applyFill="1" applyBorder="1" applyAlignment="1">
      <alignment horizontal="center" vertical="center"/>
    </xf>
    <xf numFmtId="43" fontId="0" fillId="0" borderId="0" xfId="1" applyFont="1" applyFill="1" applyBorder="1" applyAlignment="1">
      <alignment horizontal="center" vertical="center"/>
    </xf>
    <xf numFmtId="167" fontId="162" fillId="0" borderId="0" xfId="6" applyNumberFormat="1" applyFont="1" applyFill="1" applyBorder="1" applyAlignment="1">
      <alignment horizontal="center" vertical="center"/>
    </xf>
    <xf numFmtId="43" fontId="0" fillId="0" borderId="13" xfId="1" applyFont="1" applyFill="1" applyBorder="1"/>
    <xf numFmtId="43" fontId="0" fillId="0" borderId="1" xfId="1" applyFont="1" applyFill="1" applyBorder="1"/>
    <xf numFmtId="43" fontId="0" fillId="0" borderId="22" xfId="1" applyFont="1" applyFill="1" applyBorder="1" applyAlignment="1">
      <alignment horizontal="center"/>
    </xf>
    <xf numFmtId="43" fontId="0" fillId="0" borderId="21" xfId="1" applyFont="1" applyFill="1" applyBorder="1" applyAlignment="1">
      <alignment horizontal="center"/>
    </xf>
    <xf numFmtId="43" fontId="0" fillId="0" borderId="14" xfId="1" applyFont="1" applyFill="1" applyBorder="1"/>
    <xf numFmtId="43" fontId="1" fillId="0" borderId="14" xfId="1" applyFont="1" applyFill="1" applyBorder="1" applyAlignment="1">
      <alignment horizontal="center" vertical="center"/>
    </xf>
    <xf numFmtId="0" fontId="1" fillId="0" borderId="0" xfId="0" applyFont="1" applyFill="1"/>
    <xf numFmtId="0" fontId="0" fillId="0" borderId="0" xfId="0" applyFill="1" applyAlignment="1">
      <alignment wrapText="1"/>
    </xf>
    <xf numFmtId="0" fontId="0" fillId="0" borderId="0" xfId="0" applyFont="1" applyFill="1" applyBorder="1"/>
    <xf numFmtId="37" fontId="0" fillId="0" borderId="0" xfId="0" applyNumberFormat="1" applyFill="1"/>
    <xf numFmtId="0" fontId="0" fillId="0" borderId="0" xfId="0" applyAlignment="1">
      <alignment horizontal="right" vertical="center"/>
    </xf>
    <xf numFmtId="172" fontId="165" fillId="0" borderId="0" xfId="5" applyNumberFormat="1" applyFont="1" applyFill="1" applyBorder="1" applyAlignment="1"/>
    <xf numFmtId="9" fontId="165" fillId="0" borderId="0" xfId="6" applyFont="1" applyFill="1" applyBorder="1" applyAlignment="1"/>
    <xf numFmtId="1" fontId="165" fillId="0" borderId="0" xfId="5" applyNumberFormat="1" applyFont="1" applyFill="1" applyBorder="1" applyAlignment="1"/>
    <xf numFmtId="171" fontId="165" fillId="0" borderId="0" xfId="1" applyNumberFormat="1" applyFont="1" applyFill="1" applyBorder="1" applyAlignment="1">
      <alignment horizontal="right"/>
    </xf>
    <xf numFmtId="43" fontId="165" fillId="0" borderId="0" xfId="1" applyFont="1" applyFill="1" applyBorder="1" applyAlignment="1"/>
    <xf numFmtId="0" fontId="165" fillId="0" borderId="5" xfId="0" applyFont="1" applyFill="1" applyBorder="1" applyAlignment="1">
      <alignment vertical="center" wrapText="1"/>
    </xf>
    <xf numFmtId="172" fontId="165" fillId="0" borderId="1" xfId="5" applyNumberFormat="1" applyFont="1" applyFill="1" applyBorder="1" applyAlignment="1"/>
    <xf numFmtId="171" fontId="166" fillId="0" borderId="13" xfId="1" applyNumberFormat="1" applyFont="1" applyFill="1" applyBorder="1" applyAlignment="1">
      <alignment horizontal="center"/>
    </xf>
    <xf numFmtId="0" fontId="166" fillId="0" borderId="4" xfId="0" applyFont="1" applyFill="1" applyBorder="1" applyAlignment="1">
      <alignment vertical="top" wrapText="1"/>
    </xf>
    <xf numFmtId="0" fontId="165" fillId="0" borderId="14" xfId="0" applyFont="1" applyFill="1" applyBorder="1" applyAlignment="1">
      <alignment vertical="center" wrapText="1"/>
    </xf>
    <xf numFmtId="171" fontId="165" fillId="0" borderId="14" xfId="1" applyNumberFormat="1" applyFont="1" applyFill="1" applyBorder="1" applyAlignment="1">
      <alignment vertical="center" wrapText="1"/>
    </xf>
    <xf numFmtId="0" fontId="165" fillId="0" borderId="4" xfId="0" applyFont="1" applyFill="1" applyBorder="1" applyAlignment="1">
      <alignment vertical="top"/>
    </xf>
    <xf numFmtId="1" fontId="166" fillId="0" borderId="14" xfId="5" applyNumberFormat="1" applyFont="1" applyFill="1" applyBorder="1" applyAlignment="1">
      <alignment horizontal="center"/>
    </xf>
    <xf numFmtId="171" fontId="165" fillId="0" borderId="14" xfId="1" applyNumberFormat="1" applyFont="1" applyFill="1" applyBorder="1" applyAlignment="1">
      <alignment horizontal="right"/>
    </xf>
    <xf numFmtId="0" fontId="165" fillId="0" borderId="4" xfId="0" applyFont="1" applyFill="1" applyBorder="1" applyAlignment="1">
      <alignment vertical="top" wrapText="1"/>
    </xf>
    <xf numFmtId="171" fontId="166" fillId="0" borderId="14" xfId="1" applyNumberFormat="1" applyFont="1" applyFill="1" applyBorder="1" applyAlignment="1">
      <alignment horizontal="right"/>
    </xf>
    <xf numFmtId="0" fontId="165" fillId="0" borderId="4" xfId="0" applyFont="1" applyFill="1" applyBorder="1" applyAlignment="1">
      <alignment vertical="center" wrapText="1"/>
    </xf>
    <xf numFmtId="0" fontId="165" fillId="0" borderId="4" xfId="0" applyFont="1" applyFill="1" applyBorder="1" applyAlignment="1">
      <alignment horizontal="left" vertical="top"/>
    </xf>
    <xf numFmtId="172" fontId="165" fillId="0" borderId="10" xfId="5" applyNumberFormat="1" applyFont="1" applyFill="1" applyBorder="1" applyAlignment="1"/>
    <xf numFmtId="1" fontId="166" fillId="0" borderId="0" xfId="5" applyNumberFormat="1" applyFont="1" applyFill="1" applyBorder="1" applyAlignment="1">
      <alignment horizontal="center"/>
    </xf>
    <xf numFmtId="0" fontId="166" fillId="0" borderId="4" xfId="0" applyFont="1" applyFill="1" applyBorder="1" applyAlignment="1">
      <alignment vertical="center" wrapText="1"/>
    </xf>
    <xf numFmtId="171" fontId="165" fillId="0" borderId="16" xfId="1" applyNumberFormat="1" applyFont="1" applyFill="1" applyBorder="1" applyAlignment="1">
      <alignment vertical="center"/>
    </xf>
    <xf numFmtId="0" fontId="166" fillId="0" borderId="4" xfId="0" applyFont="1" applyFill="1" applyBorder="1" applyAlignment="1">
      <alignment vertical="center"/>
    </xf>
    <xf numFmtId="171" fontId="165" fillId="0" borderId="14" xfId="1" applyNumberFormat="1" applyFont="1" applyFill="1" applyBorder="1" applyAlignment="1">
      <alignment vertical="center"/>
    </xf>
    <xf numFmtId="0" fontId="165" fillId="0" borderId="0" xfId="0" applyFont="1" applyFill="1" applyBorder="1" applyAlignment="1">
      <alignment horizontal="center" vertical="center" wrapText="1"/>
    </xf>
    <xf numFmtId="174" fontId="165" fillId="0" borderId="0" xfId="1" applyNumberFormat="1" applyFont="1" applyFill="1" applyBorder="1" applyAlignment="1">
      <alignment horizontal="center" vertical="center" wrapText="1"/>
    </xf>
    <xf numFmtId="171" fontId="165" fillId="0" borderId="0" xfId="1" applyNumberFormat="1" applyFont="1" applyFill="1" applyBorder="1" applyAlignment="1">
      <alignment vertical="center" wrapText="1"/>
    </xf>
    <xf numFmtId="0" fontId="165" fillId="0" borderId="0" xfId="0" applyFont="1" applyFill="1" applyBorder="1" applyAlignment="1">
      <alignment vertical="center" wrapText="1"/>
    </xf>
    <xf numFmtId="0" fontId="165" fillId="0" borderId="4" xfId="5" applyNumberFormat="1" applyFont="1" applyFill="1" applyBorder="1" applyAlignment="1"/>
    <xf numFmtId="0" fontId="165" fillId="0" borderId="0" xfId="5" applyNumberFormat="1" applyFont="1" applyFill="1" applyBorder="1" applyAlignment="1"/>
    <xf numFmtId="172" fontId="166" fillId="0" borderId="4" xfId="5" applyNumberFormat="1" applyFont="1" applyFill="1" applyBorder="1" applyAlignment="1"/>
    <xf numFmtId="172" fontId="166" fillId="0" borderId="0" xfId="5" applyNumberFormat="1" applyFont="1" applyFill="1" applyBorder="1" applyAlignment="1"/>
    <xf numFmtId="1" fontId="166" fillId="0" borderId="0" xfId="5" applyNumberFormat="1" applyFont="1" applyFill="1" applyBorder="1" applyAlignment="1">
      <alignment horizontal="left"/>
    </xf>
    <xf numFmtId="9" fontId="166" fillId="0" borderId="0" xfId="6" applyFont="1" applyFill="1" applyBorder="1" applyAlignment="1"/>
    <xf numFmtId="9" fontId="165" fillId="0" borderId="4" xfId="6" applyFont="1" applyFill="1" applyBorder="1" applyAlignment="1"/>
    <xf numFmtId="172" fontId="165" fillId="0" borderId="4" xfId="5" applyNumberFormat="1" applyFont="1" applyFill="1" applyBorder="1" applyAlignment="1"/>
    <xf numFmtId="1" fontId="165" fillId="0" borderId="0" xfId="5" applyNumberFormat="1" applyFont="1" applyFill="1" applyBorder="1" applyAlignment="1">
      <alignment horizontal="left"/>
    </xf>
    <xf numFmtId="172" fontId="165" fillId="0" borderId="5" xfId="5" applyNumberFormat="1" applyFont="1" applyFill="1" applyBorder="1" applyAlignment="1"/>
    <xf numFmtId="1" fontId="165" fillId="0" borderId="1" xfId="5" applyNumberFormat="1" applyFont="1" applyFill="1" applyBorder="1" applyAlignment="1"/>
    <xf numFmtId="171" fontId="165" fillId="0" borderId="1" xfId="1" applyNumberFormat="1" applyFont="1" applyFill="1" applyBorder="1" applyAlignment="1">
      <alignment horizontal="right"/>
    </xf>
    <xf numFmtId="172" fontId="165" fillId="0" borderId="2" xfId="5" applyNumberFormat="1" applyFont="1" applyFill="1" applyBorder="1" applyAlignment="1"/>
    <xf numFmtId="172" fontId="165" fillId="0" borderId="24" xfId="5" applyNumberFormat="1" applyFont="1" applyFill="1" applyBorder="1" applyAlignment="1"/>
    <xf numFmtId="171" fontId="166" fillId="0" borderId="14" xfId="1" applyNumberFormat="1" applyFont="1" applyFill="1" applyBorder="1" applyAlignment="1">
      <alignment horizontal="center"/>
    </xf>
    <xf numFmtId="1" fontId="166" fillId="0" borderId="4" xfId="5" applyNumberFormat="1" applyFont="1" applyFill="1" applyBorder="1" applyAlignment="1">
      <alignment horizontal="center"/>
    </xf>
    <xf numFmtId="9" fontId="166" fillId="0" borderId="4" xfId="2" applyFont="1" applyFill="1" applyBorder="1" applyAlignment="1">
      <alignment vertical="center" wrapText="1"/>
    </xf>
    <xf numFmtId="0" fontId="165" fillId="0" borderId="4" xfId="0" applyFont="1" applyFill="1" applyBorder="1" applyAlignment="1">
      <alignment vertical="center"/>
    </xf>
    <xf numFmtId="0" fontId="166" fillId="0" borderId="0" xfId="0" applyFont="1" applyFill="1" applyBorder="1" applyAlignment="1">
      <alignment vertical="center"/>
    </xf>
    <xf numFmtId="0" fontId="166" fillId="0" borderId="10" xfId="0" applyFont="1" applyFill="1" applyBorder="1" applyAlignment="1">
      <alignment horizontal="left" vertical="center" wrapText="1"/>
    </xf>
    <xf numFmtId="171" fontId="166" fillId="0" borderId="13" xfId="1" applyNumberFormat="1" applyFont="1" applyFill="1" applyBorder="1" applyAlignment="1">
      <alignment vertical="center" wrapText="1"/>
    </xf>
    <xf numFmtId="43" fontId="165" fillId="0" borderId="4" xfId="1" applyFont="1" applyFill="1" applyBorder="1" applyAlignment="1">
      <alignment vertical="center" wrapText="1"/>
    </xf>
    <xf numFmtId="171" fontId="166" fillId="0" borderId="14" xfId="1" applyNumberFormat="1" applyFont="1" applyFill="1" applyBorder="1" applyAlignment="1">
      <alignment horizontal="right" wrapText="1"/>
    </xf>
    <xf numFmtId="171" fontId="165" fillId="0" borderId="4" xfId="1" applyNumberFormat="1" applyFont="1" applyFill="1" applyBorder="1" applyAlignment="1">
      <alignment horizontal="right"/>
    </xf>
    <xf numFmtId="174" fontId="165" fillId="0" borderId="4" xfId="1" applyNumberFormat="1" applyFont="1" applyFill="1" applyBorder="1" applyAlignment="1">
      <alignment horizontal="right"/>
    </xf>
    <xf numFmtId="171" fontId="166" fillId="0" borderId="27" xfId="1" applyNumberFormat="1" applyFont="1" applyFill="1" applyBorder="1" applyAlignment="1">
      <alignment vertical="center" wrapText="1"/>
    </xf>
    <xf numFmtId="0" fontId="165" fillId="0" borderId="0" xfId="0" applyFont="1" applyFill="1" applyBorder="1" applyAlignment="1">
      <alignment vertical="center"/>
    </xf>
    <xf numFmtId="0" fontId="165" fillId="0" borderId="0" xfId="0" applyFont="1" applyFill="1" applyBorder="1" applyAlignment="1">
      <alignment vertical="top"/>
    </xf>
    <xf numFmtId="171" fontId="165" fillId="0" borderId="13" xfId="1" applyNumberFormat="1" applyFont="1" applyFill="1" applyBorder="1" applyAlignment="1">
      <alignment vertical="center" wrapText="1"/>
    </xf>
    <xf numFmtId="0" fontId="166" fillId="0" borderId="0" xfId="0" applyFont="1" applyFill="1" applyBorder="1" applyAlignment="1">
      <alignment vertical="top" wrapText="1"/>
    </xf>
    <xf numFmtId="171" fontId="166" fillId="0" borderId="18" xfId="1" applyNumberFormat="1" applyFont="1" applyFill="1" applyBorder="1" applyAlignment="1">
      <alignment vertical="center" wrapText="1"/>
    </xf>
    <xf numFmtId="43" fontId="165" fillId="0" borderId="4" xfId="1" applyFont="1" applyFill="1" applyBorder="1" applyAlignment="1">
      <alignment horizontal="right"/>
    </xf>
    <xf numFmtId="0" fontId="166" fillId="0" borderId="5" xfId="0" applyFont="1" applyFill="1" applyBorder="1" applyAlignment="1">
      <alignment vertical="center"/>
    </xf>
    <xf numFmtId="0" fontId="166" fillId="0" borderId="1" xfId="0" applyFont="1" applyFill="1" applyBorder="1" applyAlignment="1">
      <alignment vertical="center"/>
    </xf>
    <xf numFmtId="0" fontId="166" fillId="0" borderId="1" xfId="0" applyFont="1" applyFill="1" applyBorder="1" applyAlignment="1">
      <alignment horizontal="left" vertical="center" wrapText="1"/>
    </xf>
    <xf numFmtId="0" fontId="165" fillId="0" borderId="13" xfId="0" applyFont="1" applyFill="1" applyBorder="1" applyAlignment="1">
      <alignment horizontal="center" vertical="center" wrapText="1"/>
    </xf>
    <xf numFmtId="0" fontId="165" fillId="0" borderId="5" xfId="0" applyFont="1" applyFill="1" applyBorder="1" applyAlignment="1">
      <alignment horizontal="center" vertical="center" wrapText="1"/>
    </xf>
    <xf numFmtId="172" fontId="166" fillId="0" borderId="4" xfId="5" applyNumberFormat="1" applyFont="1" applyFill="1" applyBorder="1" applyAlignment="1">
      <alignment horizontal="center"/>
    </xf>
    <xf numFmtId="172" fontId="166" fillId="0" borderId="0" xfId="5" applyNumberFormat="1" applyFont="1" applyFill="1" applyBorder="1" applyAlignment="1">
      <alignment horizontal="center"/>
    </xf>
    <xf numFmtId="171" fontId="166" fillId="0" borderId="0" xfId="1" applyNumberFormat="1" applyFont="1" applyFill="1" applyBorder="1" applyAlignment="1">
      <alignment horizontal="center"/>
    </xf>
    <xf numFmtId="9" fontId="166" fillId="0" borderId="2" xfId="6" applyFont="1" applyFill="1" applyBorder="1" applyAlignment="1">
      <alignment horizontal="left"/>
    </xf>
    <xf numFmtId="1" fontId="166" fillId="0" borderId="2" xfId="5" applyNumberFormat="1" applyFont="1" applyFill="1" applyBorder="1" applyAlignment="1">
      <alignment horizontal="center"/>
    </xf>
    <xf numFmtId="9" fontId="165" fillId="0" borderId="5" xfId="6" applyFont="1" applyFill="1" applyBorder="1" applyAlignment="1"/>
    <xf numFmtId="9" fontId="165" fillId="0" borderId="1" xfId="6" applyFont="1" applyFill="1" applyBorder="1" applyAlignment="1"/>
    <xf numFmtId="1" fontId="166" fillId="0" borderId="1" xfId="5" applyNumberFormat="1" applyFont="1" applyFill="1" applyBorder="1" applyAlignment="1"/>
    <xf numFmtId="0" fontId="167" fillId="0" borderId="4" xfId="0" applyFont="1" applyFill="1" applyBorder="1" applyAlignment="1"/>
    <xf numFmtId="0" fontId="168" fillId="0" borderId="0" xfId="0" applyFont="1" applyFill="1" applyBorder="1" applyAlignment="1"/>
    <xf numFmtId="0" fontId="168" fillId="0" borderId="14" xfId="0" applyFont="1" applyFill="1" applyBorder="1" applyAlignment="1"/>
    <xf numFmtId="0" fontId="165" fillId="0" borderId="0" xfId="0" applyFont="1" applyFill="1" applyBorder="1"/>
    <xf numFmtId="172" fontId="165" fillId="0" borderId="14" xfId="5" applyNumberFormat="1" applyFont="1" applyFill="1" applyBorder="1" applyAlignment="1"/>
    <xf numFmtId="0" fontId="165" fillId="0" borderId="4" xfId="0" applyFont="1" applyFill="1" applyBorder="1"/>
    <xf numFmtId="171" fontId="166" fillId="0" borderId="27" xfId="1" applyNumberFormat="1" applyFont="1" applyFill="1" applyBorder="1"/>
    <xf numFmtId="171" fontId="166" fillId="0" borderId="4" xfId="1" applyNumberFormat="1" applyFont="1" applyFill="1" applyBorder="1"/>
    <xf numFmtId="0" fontId="167" fillId="0" borderId="4" xfId="0" applyFont="1" applyFill="1" applyBorder="1"/>
    <xf numFmtId="0" fontId="165" fillId="0" borderId="14" xfId="0" applyFont="1" applyFill="1" applyBorder="1"/>
    <xf numFmtId="171" fontId="165" fillId="0" borderId="4" xfId="1" applyNumberFormat="1" applyFont="1" applyFill="1" applyBorder="1"/>
    <xf numFmtId="0" fontId="166" fillId="0" borderId="4" xfId="5" applyNumberFormat="1" applyFont="1" applyFill="1" applyBorder="1" applyAlignment="1">
      <alignment horizontal="left" vertical="top"/>
    </xf>
    <xf numFmtId="0" fontId="169" fillId="0" borderId="0" xfId="0" applyFont="1" applyFill="1" applyBorder="1"/>
    <xf numFmtId="0" fontId="165" fillId="0" borderId="4" xfId="0" applyFont="1" applyFill="1" applyBorder="1" applyAlignment="1"/>
    <xf numFmtId="171" fontId="165" fillId="0" borderId="5" xfId="1" applyNumberFormat="1" applyFont="1" applyFill="1" applyBorder="1"/>
    <xf numFmtId="0" fontId="166" fillId="0" borderId="4" xfId="0" applyFont="1" applyFill="1" applyBorder="1"/>
    <xf numFmtId="0" fontId="166" fillId="0" borderId="0" xfId="0" applyFont="1" applyFill="1" applyBorder="1"/>
    <xf numFmtId="171" fontId="165" fillId="0" borderId="14" xfId="0" applyNumberFormat="1" applyFont="1" applyFill="1" applyBorder="1"/>
    <xf numFmtId="171" fontId="166" fillId="0" borderId="14" xfId="1" applyNumberFormat="1" applyFont="1" applyFill="1" applyBorder="1"/>
    <xf numFmtId="171" fontId="165" fillId="0" borderId="13" xfId="1" applyNumberFormat="1" applyFont="1" applyFill="1" applyBorder="1"/>
    <xf numFmtId="171" fontId="165" fillId="0" borderId="14" xfId="1" applyNumberFormat="1" applyFont="1" applyFill="1" applyBorder="1"/>
    <xf numFmtId="0" fontId="166" fillId="0" borderId="4" xfId="0" applyFont="1" applyFill="1" applyBorder="1" applyAlignment="1"/>
    <xf numFmtId="43" fontId="165" fillId="0" borderId="14" xfId="1" applyFont="1" applyFill="1" applyBorder="1"/>
    <xf numFmtId="0" fontId="165" fillId="0" borderId="5" xfId="0" applyFont="1" applyFill="1" applyBorder="1"/>
    <xf numFmtId="0" fontId="165" fillId="0" borderId="1" xfId="0" applyFont="1" applyFill="1" applyBorder="1"/>
    <xf numFmtId="171" fontId="166" fillId="0" borderId="0" xfId="9" applyNumberFormat="1" applyFont="1" applyFill="1" applyBorder="1"/>
    <xf numFmtId="171" fontId="165" fillId="0" borderId="0" xfId="1" applyNumberFormat="1" applyFont="1" applyFill="1" applyBorder="1" applyAlignment="1">
      <alignment horizontal="center" vertical="center"/>
    </xf>
    <xf numFmtId="171" fontId="165" fillId="0" borderId="0" xfId="1" applyNumberFormat="1" applyFont="1" applyFill="1" applyBorder="1"/>
    <xf numFmtId="1" fontId="165" fillId="0" borderId="1" xfId="5" applyNumberFormat="1" applyFont="1" applyFill="1" applyBorder="1" applyAlignment="1">
      <alignment horizontal="left"/>
    </xf>
    <xf numFmtId="1" fontId="166" fillId="0" borderId="24" xfId="5" applyNumberFormat="1" applyFont="1" applyFill="1" applyBorder="1" applyAlignment="1"/>
    <xf numFmtId="9" fontId="167" fillId="0" borderId="4" xfId="6" applyFont="1" applyFill="1" applyBorder="1" applyAlignment="1">
      <alignment horizontal="left"/>
    </xf>
    <xf numFmtId="9" fontId="166" fillId="0" borderId="0" xfId="6" applyFont="1" applyFill="1" applyBorder="1" applyAlignment="1">
      <alignment horizontal="left"/>
    </xf>
    <xf numFmtId="1" fontId="165" fillId="0" borderId="10" xfId="5" applyNumberFormat="1" applyFont="1" applyFill="1" applyBorder="1" applyAlignment="1"/>
    <xf numFmtId="9" fontId="166" fillId="0" borderId="4" xfId="6" applyFont="1" applyFill="1" applyBorder="1" applyAlignment="1">
      <alignment horizontal="left"/>
    </xf>
    <xf numFmtId="171" fontId="165" fillId="0" borderId="10" xfId="1" applyNumberFormat="1" applyFont="1" applyFill="1" applyBorder="1" applyAlignment="1">
      <alignment horizontal="left" wrapText="1"/>
    </xf>
    <xf numFmtId="43" fontId="165" fillId="0" borderId="14" xfId="1" applyFont="1" applyFill="1" applyBorder="1" applyAlignment="1"/>
    <xf numFmtId="171" fontId="166" fillId="0" borderId="18" xfId="1" applyNumberFormat="1" applyFont="1" applyFill="1" applyBorder="1" applyAlignment="1">
      <alignment horizontal="right"/>
    </xf>
    <xf numFmtId="2" fontId="166" fillId="0" borderId="4" xfId="6" applyNumberFormat="1" applyFont="1" applyFill="1" applyBorder="1" applyAlignment="1"/>
    <xf numFmtId="2" fontId="166" fillId="0" borderId="0" xfId="6" applyNumberFormat="1" applyFont="1" applyFill="1" applyBorder="1" applyAlignment="1"/>
    <xf numFmtId="1" fontId="165" fillId="0" borderId="14" xfId="5" applyNumberFormat="1" applyFont="1" applyFill="1" applyBorder="1" applyAlignment="1"/>
    <xf numFmtId="171" fontId="166" fillId="0" borderId="28" xfId="1" applyNumberFormat="1" applyFont="1" applyFill="1" applyBorder="1" applyAlignment="1">
      <alignment horizontal="right"/>
    </xf>
    <xf numFmtId="172" fontId="165" fillId="0" borderId="0" xfId="5" applyNumberFormat="1" applyFont="1" applyFill="1" applyBorder="1" applyAlignment="1">
      <alignment horizontal="justify" vertical="top" wrapText="1"/>
    </xf>
    <xf numFmtId="174" fontId="165" fillId="0" borderId="14" xfId="1" applyNumberFormat="1" applyFont="1" applyFill="1" applyBorder="1" applyAlignment="1">
      <alignment horizontal="justify" vertical="top" wrapText="1"/>
    </xf>
    <xf numFmtId="174" fontId="165" fillId="0" borderId="14" xfId="1" applyNumberFormat="1" applyFont="1" applyFill="1" applyBorder="1" applyAlignment="1"/>
    <xf numFmtId="0" fontId="165" fillId="0" borderId="4" xfId="5" applyNumberFormat="1" applyFont="1" applyFill="1" applyBorder="1" applyAlignment="1">
      <alignment vertical="top"/>
    </xf>
    <xf numFmtId="0" fontId="165" fillId="0" borderId="0" xfId="5" applyNumberFormat="1" applyFont="1" applyFill="1" applyBorder="1" applyAlignment="1">
      <alignment vertical="top"/>
    </xf>
    <xf numFmtId="169" fontId="166" fillId="0" borderId="0" xfId="0" applyNumberFormat="1" applyFont="1" applyFill="1" applyBorder="1" applyAlignment="1">
      <alignment horizontal="right" vertical="top"/>
    </xf>
    <xf numFmtId="169" fontId="166" fillId="0" borderId="14" xfId="0" applyNumberFormat="1" applyFont="1" applyFill="1" applyBorder="1" applyAlignment="1">
      <alignment horizontal="right" vertical="top"/>
    </xf>
    <xf numFmtId="9" fontId="166" fillId="0" borderId="4" xfId="6" applyFont="1" applyFill="1" applyBorder="1" applyAlignment="1"/>
    <xf numFmtId="0" fontId="166" fillId="0" borderId="0" xfId="5" applyNumberFormat="1" applyFont="1" applyFill="1" applyBorder="1" applyAlignment="1">
      <alignment vertical="top"/>
    </xf>
    <xf numFmtId="0" fontId="166" fillId="0" borderId="4" xfId="5" applyNumberFormat="1" applyFont="1" applyFill="1" applyBorder="1" applyAlignment="1">
      <alignment vertical="top"/>
    </xf>
    <xf numFmtId="174" fontId="165" fillId="0" borderId="13" xfId="1" applyNumberFormat="1" applyFont="1" applyFill="1" applyBorder="1" applyAlignment="1"/>
    <xf numFmtId="171" fontId="165" fillId="0" borderId="28" xfId="1" applyNumberFormat="1" applyFont="1" applyFill="1" applyBorder="1" applyAlignment="1"/>
    <xf numFmtId="0" fontId="165" fillId="0" borderId="14" xfId="5" applyNumberFormat="1" applyFont="1" applyFill="1" applyBorder="1" applyAlignment="1">
      <alignment horizontal="justify" vertical="top" wrapText="1"/>
    </xf>
    <xf numFmtId="171" fontId="165" fillId="0" borderId="14" xfId="1" applyNumberFormat="1" applyFont="1" applyFill="1" applyBorder="1" applyAlignment="1"/>
    <xf numFmtId="171" fontId="165" fillId="0" borderId="0" xfId="1" applyNumberFormat="1" applyFont="1" applyFill="1" applyBorder="1" applyAlignment="1"/>
    <xf numFmtId="166" fontId="165" fillId="0" borderId="0" xfId="5" applyNumberFormat="1" applyFont="1" applyFill="1" applyBorder="1" applyAlignment="1">
      <alignment vertical="top"/>
    </xf>
    <xf numFmtId="1" fontId="166" fillId="0" borderId="0" xfId="5" applyNumberFormat="1" applyFont="1" applyFill="1" applyBorder="1" applyAlignment="1"/>
    <xf numFmtId="1" fontId="165" fillId="0" borderId="0" xfId="5" applyNumberFormat="1" applyFont="1" applyFill="1" applyAlignment="1"/>
    <xf numFmtId="1" fontId="166" fillId="0" borderId="14" xfId="5" applyNumberFormat="1" applyFont="1" applyFill="1" applyBorder="1" applyAlignment="1"/>
    <xf numFmtId="0" fontId="166" fillId="0" borderId="5" xfId="5" applyNumberFormat="1" applyFont="1" applyFill="1" applyBorder="1" applyAlignment="1">
      <alignment vertical="top"/>
    </xf>
    <xf numFmtId="9" fontId="166" fillId="0" borderId="1" xfId="6" applyFont="1" applyFill="1" applyBorder="1" applyAlignment="1">
      <alignment horizontal="left"/>
    </xf>
    <xf numFmtId="172" fontId="166" fillId="0" borderId="10" xfId="5" applyNumberFormat="1" applyFont="1" applyFill="1" applyBorder="1" applyAlignment="1"/>
    <xf numFmtId="1" fontId="166" fillId="0" borderId="10" xfId="5" applyNumberFormat="1" applyFont="1" applyFill="1" applyBorder="1" applyAlignment="1"/>
    <xf numFmtId="2" fontId="167" fillId="0" borderId="4" xfId="6" applyNumberFormat="1" applyFont="1" applyFill="1" applyBorder="1" applyAlignment="1"/>
    <xf numFmtId="2" fontId="167" fillId="0" borderId="0" xfId="6" applyNumberFormat="1" applyFont="1" applyFill="1" applyBorder="1" applyAlignment="1"/>
    <xf numFmtId="0" fontId="165" fillId="0" borderId="4" xfId="5" applyNumberFormat="1" applyFont="1" applyFill="1" applyBorder="1" applyAlignment="1">
      <alignment horizontal="left"/>
    </xf>
    <xf numFmtId="0" fontId="165" fillId="0" borderId="0" xfId="5" applyNumberFormat="1" applyFont="1" applyFill="1" applyBorder="1" applyAlignment="1">
      <alignment horizontal="left"/>
    </xf>
    <xf numFmtId="1" fontId="165" fillId="0" borderId="10" xfId="5" applyNumberFormat="1" applyFont="1" applyFill="1" applyBorder="1" applyAlignment="1">
      <alignment wrapText="1"/>
    </xf>
    <xf numFmtId="171" fontId="165" fillId="0" borderId="5" xfId="1" applyNumberFormat="1" applyFont="1" applyFill="1" applyBorder="1" applyAlignment="1">
      <alignment horizontal="right"/>
    </xf>
    <xf numFmtId="171" fontId="166" fillId="0" borderId="27" xfId="1" applyNumberFormat="1" applyFont="1" applyFill="1" applyBorder="1" applyAlignment="1"/>
    <xf numFmtId="0" fontId="167" fillId="0" borderId="4" xfId="5" applyNumberFormat="1" applyFont="1" applyFill="1" applyBorder="1" applyAlignment="1"/>
    <xf numFmtId="0" fontId="167" fillId="0" borderId="0" xfId="5" applyNumberFormat="1" applyFont="1" applyFill="1" applyBorder="1" applyAlignment="1"/>
    <xf numFmtId="171" fontId="165" fillId="0" borderId="10" xfId="1" applyNumberFormat="1" applyFont="1" applyFill="1" applyBorder="1" applyAlignment="1"/>
    <xf numFmtId="0" fontId="166" fillId="0" borderId="4" xfId="5" applyNumberFormat="1" applyFont="1" applyFill="1" applyBorder="1" applyAlignment="1">
      <alignment vertical="center"/>
    </xf>
    <xf numFmtId="168" fontId="166" fillId="0" borderId="0" xfId="5" applyNumberFormat="1" applyFont="1" applyFill="1" applyBorder="1" applyAlignment="1">
      <alignment horizontal="center" vertical="center" wrapText="1"/>
    </xf>
    <xf numFmtId="171" fontId="166" fillId="0" borderId="14" xfId="1" applyNumberFormat="1" applyFont="1" applyFill="1" applyBorder="1" applyAlignment="1">
      <alignment horizontal="center" vertical="center"/>
    </xf>
    <xf numFmtId="2" fontId="165" fillId="0" borderId="0" xfId="5" applyNumberFormat="1" applyFont="1" applyFill="1" applyBorder="1" applyAlignment="1">
      <alignment horizontal="center"/>
    </xf>
    <xf numFmtId="171" fontId="165" fillId="0" borderId="13" xfId="1" applyNumberFormat="1" applyFont="1" applyFill="1" applyBorder="1" applyAlignment="1"/>
    <xf numFmtId="171" fontId="166" fillId="0" borderId="10" xfId="1" applyNumberFormat="1" applyFont="1" applyFill="1" applyBorder="1" applyAlignment="1">
      <alignment horizontal="right"/>
    </xf>
    <xf numFmtId="0" fontId="165" fillId="0" borderId="14" xfId="5" applyNumberFormat="1" applyFont="1" applyFill="1" applyBorder="1" applyAlignment="1">
      <alignment horizontal="left" vertical="top" wrapText="1"/>
    </xf>
    <xf numFmtId="171" fontId="166" fillId="0" borderId="10" xfId="1" applyNumberFormat="1" applyFont="1" applyFill="1" applyBorder="1" applyAlignment="1">
      <alignment horizontal="center" vertical="center"/>
    </xf>
    <xf numFmtId="171" fontId="165" fillId="0" borderId="10" xfId="1" applyNumberFormat="1" applyFont="1" applyFill="1" applyBorder="1" applyAlignment="1">
      <alignment horizontal="right"/>
    </xf>
    <xf numFmtId="171" fontId="165" fillId="0" borderId="13" xfId="1" applyNumberFormat="1" applyFont="1" applyFill="1" applyBorder="1" applyAlignment="1">
      <alignment horizontal="right"/>
    </xf>
    <xf numFmtId="171" fontId="165" fillId="0" borderId="24" xfId="1" applyNumberFormat="1" applyFont="1" applyFill="1" applyBorder="1" applyAlignment="1">
      <alignment horizontal="right"/>
    </xf>
    <xf numFmtId="2" fontId="166" fillId="0" borderId="14" xfId="6" applyNumberFormat="1" applyFont="1" applyFill="1" applyBorder="1" applyAlignment="1">
      <alignment horizontal="justify" vertical="top" wrapText="1"/>
    </xf>
    <xf numFmtId="9" fontId="166" fillId="0" borderId="14" xfId="6" applyFont="1" applyFill="1" applyBorder="1" applyAlignment="1">
      <alignment horizontal="left" vertical="top" wrapText="1"/>
    </xf>
    <xf numFmtId="9" fontId="166" fillId="0" borderId="4" xfId="6" applyFont="1" applyFill="1" applyBorder="1" applyAlignment="1">
      <alignment horizontal="justify" vertical="top"/>
    </xf>
    <xf numFmtId="2" fontId="165" fillId="0" borderId="14" xfId="6" applyNumberFormat="1" applyFont="1" applyFill="1" applyBorder="1" applyAlignment="1">
      <alignment horizontal="justify" vertical="top" wrapText="1"/>
    </xf>
    <xf numFmtId="0" fontId="170" fillId="0" borderId="4" xfId="0" applyFont="1" applyFill="1" applyBorder="1"/>
    <xf numFmtId="0" fontId="165" fillId="0" borderId="4" xfId="5" applyNumberFormat="1" applyFont="1" applyFill="1" applyBorder="1" applyAlignment="1">
      <alignment horizontal="left" vertical="top"/>
    </xf>
    <xf numFmtId="172" fontId="170" fillId="0" borderId="0" xfId="5" applyNumberFormat="1" applyFont="1" applyFill="1" applyBorder="1" applyAlignment="1"/>
    <xf numFmtId="0" fontId="170" fillId="0" borderId="4" xfId="5" applyNumberFormat="1" applyFont="1" applyFill="1" applyBorder="1" applyAlignment="1">
      <alignment horizontal="justify" vertical="top" wrapText="1"/>
    </xf>
    <xf numFmtId="0" fontId="166" fillId="0" borderId="5" xfId="5" applyNumberFormat="1" applyFont="1" applyFill="1" applyBorder="1" applyAlignment="1">
      <alignment horizontal="center"/>
    </xf>
    <xf numFmtId="0" fontId="166" fillId="0" borderId="1" xfId="5" applyNumberFormat="1" applyFont="1" applyFill="1" applyBorder="1" applyAlignment="1">
      <alignment horizontal="center"/>
    </xf>
    <xf numFmtId="1" fontId="165" fillId="0" borderId="24" xfId="5" applyNumberFormat="1" applyFont="1" applyFill="1" applyBorder="1" applyAlignment="1"/>
    <xf numFmtId="1" fontId="166" fillId="0" borderId="79" xfId="5" applyNumberFormat="1" applyFont="1" applyFill="1" applyBorder="1" applyAlignment="1">
      <alignment horizontal="center"/>
    </xf>
    <xf numFmtId="171" fontId="165" fillId="0" borderId="13" xfId="1" applyNumberFormat="1" applyFont="1" applyFill="1" applyBorder="1" applyAlignment="1">
      <alignment horizontal="center"/>
    </xf>
    <xf numFmtId="171" fontId="166" fillId="0" borderId="80" xfId="1" applyNumberFormat="1" applyFont="1" applyFill="1" applyBorder="1" applyAlignment="1">
      <alignment horizontal="center"/>
    </xf>
    <xf numFmtId="0" fontId="165" fillId="0" borderId="0" xfId="0" applyFont="1" applyFill="1"/>
    <xf numFmtId="9" fontId="165" fillId="0" borderId="4" xfId="6" applyFont="1" applyFill="1" applyBorder="1" applyAlignment="1">
      <alignment horizontal="left" vertical="top"/>
    </xf>
    <xf numFmtId="166" fontId="165" fillId="0" borderId="14" xfId="1" applyNumberFormat="1" applyFont="1" applyFill="1" applyBorder="1" applyAlignment="1">
      <alignment horizontal="center"/>
    </xf>
    <xf numFmtId="0" fontId="170" fillId="0" borderId="4" xfId="5" applyNumberFormat="1" applyFont="1" applyFill="1" applyBorder="1" applyAlignment="1">
      <alignment horizontal="left"/>
    </xf>
    <xf numFmtId="0" fontId="166" fillId="0" borderId="4" xfId="5" applyNumberFormat="1" applyFont="1" applyFill="1" applyBorder="1" applyAlignment="1">
      <alignment horizontal="left"/>
    </xf>
    <xf numFmtId="0" fontId="166" fillId="0" borderId="0" xfId="5" applyNumberFormat="1" applyFont="1" applyFill="1" applyBorder="1" applyAlignment="1">
      <alignment horizontal="left"/>
    </xf>
    <xf numFmtId="172" fontId="165" fillId="2" borderId="0" xfId="5" applyNumberFormat="1" applyFont="1" applyFill="1" applyBorder="1" applyAlignment="1"/>
    <xf numFmtId="171" fontId="166" fillId="0" borderId="0" xfId="1" applyNumberFormat="1" applyFont="1" applyFill="1" applyBorder="1" applyAlignment="1">
      <alignment horizontal="right"/>
    </xf>
    <xf numFmtId="2" fontId="165" fillId="0" borderId="4" xfId="7" applyNumberFormat="1" applyFont="1" applyFill="1" applyBorder="1" applyAlignment="1"/>
    <xf numFmtId="166" fontId="165" fillId="0" borderId="0" xfId="5" applyNumberFormat="1" applyFont="1" applyFill="1" applyBorder="1" applyAlignment="1">
      <alignment horizontal="justify" vertical="top" wrapText="1"/>
    </xf>
    <xf numFmtId="171" fontId="165" fillId="0" borderId="14" xfId="1" applyNumberFormat="1" applyFont="1" applyFill="1" applyBorder="1" applyAlignment="1">
      <alignment horizontal="justify" vertical="top" wrapText="1"/>
    </xf>
    <xf numFmtId="171" fontId="165" fillId="0" borderId="4" xfId="1" applyNumberFormat="1" applyFont="1" applyFill="1" applyBorder="1" applyAlignment="1"/>
    <xf numFmtId="166" fontId="165" fillId="0" borderId="0" xfId="6" applyNumberFormat="1" applyFont="1" applyFill="1" applyBorder="1" applyAlignment="1"/>
    <xf numFmtId="166" fontId="165" fillId="0" borderId="14" xfId="6" applyNumberFormat="1" applyFont="1" applyFill="1" applyBorder="1" applyAlignment="1"/>
    <xf numFmtId="0" fontId="166" fillId="0" borderId="4" xfId="5" applyNumberFormat="1" applyFont="1" applyFill="1" applyBorder="1" applyAlignment="1">
      <alignment horizontal="center" wrapText="1"/>
    </xf>
    <xf numFmtId="9" fontId="165" fillId="0" borderId="4" xfId="5" applyNumberFormat="1" applyFont="1" applyFill="1" applyBorder="1" applyAlignment="1">
      <alignment vertical="top"/>
    </xf>
    <xf numFmtId="2" fontId="165" fillId="0" borderId="4" xfId="6" applyNumberFormat="1" applyFont="1" applyFill="1" applyBorder="1" applyAlignment="1"/>
    <xf numFmtId="0" fontId="166" fillId="0" borderId="0" xfId="5" applyNumberFormat="1" applyFont="1" applyFill="1" applyBorder="1" applyAlignment="1">
      <alignment horizontal="left" vertical="top"/>
    </xf>
    <xf numFmtId="43" fontId="165" fillId="0" borderId="10" xfId="1" applyFont="1" applyFill="1" applyBorder="1" applyAlignment="1"/>
    <xf numFmtId="9" fontId="165" fillId="0" borderId="4" xfId="6" quotePrefix="1" applyFont="1" applyFill="1" applyBorder="1" applyAlignment="1"/>
    <xf numFmtId="172" fontId="165" fillId="0" borderId="4" xfId="8" quotePrefix="1" applyNumberFormat="1" applyFont="1" applyFill="1" applyBorder="1" applyAlignment="1"/>
    <xf numFmtId="172" fontId="166" fillId="0" borderId="4" xfId="8" applyNumberFormat="1" applyFont="1" applyFill="1" applyBorder="1" applyAlignment="1"/>
    <xf numFmtId="172" fontId="165" fillId="0" borderId="4" xfId="8" applyNumberFormat="1" applyFont="1" applyFill="1" applyBorder="1" applyAlignment="1"/>
    <xf numFmtId="176" fontId="165" fillId="0" borderId="0" xfId="1" applyNumberFormat="1" applyFont="1" applyFill="1" applyBorder="1" applyAlignment="1"/>
    <xf numFmtId="168" fontId="165" fillId="0" borderId="0" xfId="0" applyNumberFormat="1" applyFont="1" applyFill="1" applyBorder="1"/>
    <xf numFmtId="168" fontId="165" fillId="0" borderId="29" xfId="0" applyNumberFormat="1" applyFont="1" applyFill="1" applyBorder="1"/>
    <xf numFmtId="174" fontId="166" fillId="0" borderId="18" xfId="1" applyNumberFormat="1" applyFont="1" applyFill="1" applyBorder="1" applyAlignment="1">
      <alignment horizontal="right"/>
    </xf>
    <xf numFmtId="1" fontId="165" fillId="0" borderId="29" xfId="5" applyNumberFormat="1" applyFont="1" applyFill="1" applyBorder="1" applyAlignment="1"/>
    <xf numFmtId="171" fontId="165" fillId="0" borderId="14" xfId="1" quotePrefix="1" applyNumberFormat="1" applyFont="1" applyFill="1" applyBorder="1" applyAlignment="1">
      <alignment horizontal="right"/>
    </xf>
    <xf numFmtId="171" fontId="165" fillId="0" borderId="0" xfId="6" applyNumberFormat="1" applyFont="1" applyFill="1" applyBorder="1" applyAlignment="1"/>
    <xf numFmtId="9" fontId="170" fillId="0" borderId="4" xfId="6" applyFont="1" applyFill="1" applyBorder="1" applyAlignment="1"/>
    <xf numFmtId="9" fontId="167" fillId="0" borderId="4" xfId="6" applyFont="1" applyFill="1" applyBorder="1" applyAlignment="1"/>
    <xf numFmtId="171" fontId="165" fillId="0" borderId="0" xfId="0" applyNumberFormat="1" applyFont="1" applyFill="1" applyBorder="1"/>
    <xf numFmtId="9" fontId="165" fillId="0" borderId="4" xfId="6" applyFont="1" applyFill="1" applyBorder="1" applyAlignment="1">
      <alignment horizontal="left"/>
    </xf>
    <xf numFmtId="9" fontId="165" fillId="0" borderId="0" xfId="6" applyFont="1" applyFill="1" applyBorder="1" applyAlignment="1">
      <alignment horizontal="left"/>
    </xf>
    <xf numFmtId="166" fontId="165" fillId="0" borderId="0" xfId="0" applyNumberFormat="1" applyFont="1" applyFill="1" applyBorder="1"/>
    <xf numFmtId="171" fontId="166" fillId="0" borderId="10" xfId="1" applyNumberFormat="1" applyFont="1" applyFill="1" applyBorder="1" applyAlignment="1">
      <alignment horizontal="center"/>
    </xf>
    <xf numFmtId="171" fontId="165" fillId="0" borderId="10" xfId="1" applyNumberFormat="1" applyFont="1" applyFill="1" applyBorder="1" applyAlignment="1">
      <alignment horizontal="center"/>
    </xf>
    <xf numFmtId="171" fontId="165" fillId="0" borderId="14" xfId="1" applyNumberFormat="1" applyFont="1" applyFill="1" applyBorder="1" applyAlignment="1">
      <alignment horizontal="center"/>
    </xf>
    <xf numFmtId="171" fontId="166" fillId="0" borderId="17" xfId="1" applyNumberFormat="1" applyFont="1" applyFill="1" applyBorder="1" applyAlignment="1">
      <alignment horizontal="center"/>
    </xf>
    <xf numFmtId="168" fontId="166" fillId="0" borderId="10" xfId="1" applyNumberFormat="1" applyFont="1" applyFill="1" applyBorder="1" applyAlignment="1">
      <alignment horizontal="center"/>
    </xf>
    <xf numFmtId="43" fontId="166" fillId="0" borderId="10" xfId="1" applyFont="1" applyFill="1" applyBorder="1" applyAlignment="1">
      <alignment horizontal="center"/>
    </xf>
    <xf numFmtId="0" fontId="165" fillId="0" borderId="79" xfId="0" applyFont="1" applyFill="1" applyBorder="1" applyAlignment="1">
      <alignment vertical="top" wrapText="1"/>
    </xf>
    <xf numFmtId="0" fontId="165" fillId="0" borderId="0" xfId="0" applyFont="1" applyFill="1" applyBorder="1" applyAlignment="1">
      <alignment vertical="top" wrapText="1"/>
    </xf>
    <xf numFmtId="0" fontId="165" fillId="0" borderId="14" xfId="0" applyFont="1" applyFill="1" applyBorder="1" applyAlignment="1">
      <alignment vertical="top" wrapText="1"/>
    </xf>
    <xf numFmtId="172" fontId="165" fillId="0" borderId="2" xfId="5" applyNumberFormat="1" applyFont="1" applyFill="1" applyBorder="1"/>
    <xf numFmtId="1" fontId="166" fillId="0" borderId="2" xfId="5" applyNumberFormat="1" applyFont="1" applyFill="1" applyBorder="1" applyAlignment="1"/>
    <xf numFmtId="172" fontId="166" fillId="0" borderId="5" xfId="5" applyNumberFormat="1" applyFont="1" applyFill="1" applyBorder="1"/>
    <xf numFmtId="172" fontId="165" fillId="0" borderId="1" xfId="5" applyNumberFormat="1" applyFont="1" applyFill="1" applyBorder="1"/>
    <xf numFmtId="172" fontId="166" fillId="0" borderId="2" xfId="5" applyNumberFormat="1" applyFont="1" applyFill="1" applyBorder="1" applyAlignment="1">
      <alignment wrapText="1"/>
    </xf>
    <xf numFmtId="172" fontId="166" fillId="0" borderId="10" xfId="5" applyNumberFormat="1" applyFont="1" applyFill="1" applyBorder="1" applyAlignment="1">
      <alignment horizontal="left" wrapText="1"/>
    </xf>
    <xf numFmtId="172" fontId="165" fillId="0" borderId="4" xfId="5" applyNumberFormat="1" applyFont="1" applyFill="1" applyBorder="1"/>
    <xf numFmtId="172" fontId="165" fillId="0" borderId="0" xfId="5" applyNumberFormat="1" applyFont="1" applyFill="1" applyBorder="1"/>
    <xf numFmtId="166" fontId="165" fillId="0" borderId="14" xfId="1" applyNumberFormat="1" applyFont="1" applyFill="1" applyBorder="1" applyAlignment="1">
      <alignment horizontal="right"/>
    </xf>
    <xf numFmtId="172" fontId="166" fillId="0" borderId="4" xfId="5" applyNumberFormat="1" applyFont="1" applyFill="1" applyBorder="1"/>
    <xf numFmtId="174" fontId="165" fillId="0" borderId="14" xfId="1" applyNumberFormat="1" applyFont="1" applyFill="1" applyBorder="1" applyAlignment="1">
      <alignment horizontal="right"/>
    </xf>
    <xf numFmtId="172" fontId="166" fillId="0" borderId="4" xfId="5" applyNumberFormat="1" applyFont="1" applyFill="1" applyBorder="1" applyAlignment="1">
      <alignment wrapText="1"/>
    </xf>
    <xf numFmtId="172" fontId="166" fillId="0" borderId="0" xfId="5" applyNumberFormat="1" applyFont="1" applyFill="1" applyBorder="1" applyAlignment="1">
      <alignment wrapText="1"/>
    </xf>
    <xf numFmtId="172" fontId="165" fillId="0" borderId="4" xfId="5" applyNumberFormat="1" applyFont="1" applyFill="1" applyBorder="1" applyAlignment="1">
      <alignment vertical="top"/>
    </xf>
    <xf numFmtId="171" fontId="165" fillId="0" borderId="14" xfId="1" applyNumberFormat="1" applyFont="1" applyFill="1" applyBorder="1" applyAlignment="1">
      <alignment vertical="top"/>
    </xf>
    <xf numFmtId="172" fontId="166" fillId="0" borderId="4" xfId="5" applyNumberFormat="1" applyFont="1" applyFill="1" applyBorder="1" applyAlignment="1">
      <alignment vertical="top"/>
    </xf>
    <xf numFmtId="171" fontId="166" fillId="0" borderId="10" xfId="1" applyNumberFormat="1" applyFont="1" applyFill="1" applyBorder="1" applyAlignment="1">
      <alignment vertical="top"/>
    </xf>
    <xf numFmtId="10" fontId="165" fillId="0" borderId="14" xfId="2" applyNumberFormat="1" applyFont="1" applyFill="1" applyBorder="1" applyAlignment="1">
      <alignment horizontal="right"/>
    </xf>
    <xf numFmtId="172" fontId="165" fillId="0" borderId="5" xfId="5" applyNumberFormat="1" applyFont="1" applyFill="1" applyBorder="1"/>
    <xf numFmtId="10" fontId="165" fillId="0" borderId="13" xfId="2" applyNumberFormat="1" applyFont="1" applyFill="1" applyBorder="1" applyAlignment="1">
      <alignment horizontal="right"/>
    </xf>
    <xf numFmtId="10" fontId="165" fillId="0" borderId="24" xfId="2" applyNumberFormat="1" applyFont="1" applyFill="1" applyBorder="1" applyAlignment="1">
      <alignment horizontal="right"/>
    </xf>
    <xf numFmtId="171" fontId="166" fillId="0" borderId="24" xfId="1" applyNumberFormat="1" applyFont="1" applyFill="1" applyBorder="1"/>
    <xf numFmtId="171" fontId="166" fillId="0" borderId="13" xfId="9" applyNumberFormat="1" applyFont="1" applyFill="1" applyBorder="1"/>
    <xf numFmtId="171" fontId="165" fillId="0" borderId="1" xfId="1" applyNumberFormat="1" applyFont="1" applyFill="1" applyBorder="1"/>
    <xf numFmtId="171" fontId="165" fillId="0" borderId="24" xfId="1" applyNumberFormat="1" applyFont="1" applyFill="1" applyBorder="1"/>
    <xf numFmtId="172" fontId="165" fillId="0" borderId="15" xfId="5" applyNumberFormat="1" applyFont="1" applyFill="1" applyBorder="1" applyAlignment="1"/>
    <xf numFmtId="9" fontId="166" fillId="0" borderId="1" xfId="6" applyFont="1" applyFill="1" applyBorder="1" applyAlignment="1"/>
    <xf numFmtId="0" fontId="165" fillId="0" borderId="2" xfId="0" applyFont="1" applyFill="1" applyBorder="1" applyAlignment="1">
      <alignment horizontal="justify" vertical="top"/>
    </xf>
    <xf numFmtId="171" fontId="165" fillId="0" borderId="2" xfId="1" applyNumberFormat="1" applyFont="1" applyFill="1" applyBorder="1" applyAlignment="1">
      <alignment horizontal="justify" vertical="top"/>
    </xf>
    <xf numFmtId="0" fontId="165" fillId="0" borderId="0" xfId="0" applyFont="1" applyFill="1" applyBorder="1" applyAlignment="1">
      <alignment horizontal="justify" vertical="top" wrapText="1"/>
    </xf>
    <xf numFmtId="171" fontId="165" fillId="0" borderId="0" xfId="1" applyNumberFormat="1" applyFont="1" applyFill="1" applyBorder="1" applyAlignment="1">
      <alignment horizontal="justify" vertical="top" wrapText="1"/>
    </xf>
    <xf numFmtId="171" fontId="165" fillId="0" borderId="10" xfId="1" applyNumberFormat="1" applyFont="1" applyFill="1" applyBorder="1"/>
    <xf numFmtId="172" fontId="165" fillId="0" borderId="3" xfId="5" applyNumberFormat="1" applyFont="1" applyFill="1" applyBorder="1" applyAlignment="1"/>
    <xf numFmtId="9" fontId="165" fillId="0" borderId="2" xfId="6" applyFont="1" applyFill="1" applyBorder="1" applyAlignment="1"/>
    <xf numFmtId="1" fontId="165" fillId="0" borderId="2" xfId="5" applyNumberFormat="1" applyFont="1" applyFill="1" applyBorder="1" applyAlignment="1"/>
    <xf numFmtId="172" fontId="166" fillId="0" borderId="5" xfId="5" applyNumberFormat="1" applyFont="1" applyFill="1" applyBorder="1" applyAlignment="1"/>
    <xf numFmtId="9" fontId="166" fillId="0" borderId="4" xfId="2" applyFont="1" applyFill="1" applyBorder="1" applyAlignment="1"/>
    <xf numFmtId="9" fontId="165" fillId="0" borderId="4" xfId="2" applyFont="1" applyFill="1" applyBorder="1" applyAlignment="1"/>
    <xf numFmtId="9" fontId="165" fillId="0" borderId="5" xfId="2" applyFont="1" applyFill="1" applyBorder="1" applyAlignment="1"/>
    <xf numFmtId="0" fontId="166" fillId="0" borderId="4" xfId="5" applyNumberFormat="1" applyFont="1" applyFill="1" applyBorder="1"/>
    <xf numFmtId="0" fontId="166" fillId="0" borderId="10" xfId="0" applyFont="1" applyFill="1" applyBorder="1" applyAlignment="1">
      <alignment vertical="center"/>
    </xf>
    <xf numFmtId="0" fontId="166" fillId="0" borderId="0" xfId="0" applyFont="1" applyFill="1" applyBorder="1" applyAlignment="1">
      <alignment horizontal="right"/>
    </xf>
    <xf numFmtId="9" fontId="165" fillId="0" borderId="0" xfId="6" applyFont="1" applyFill="1" applyBorder="1" applyAlignment="1">
      <alignment horizontal="right"/>
    </xf>
    <xf numFmtId="171" fontId="165" fillId="0" borderId="0" xfId="1" applyNumberFormat="1" applyFont="1" applyFill="1" applyBorder="1" applyAlignment="1">
      <alignment horizontal="right" vertical="center"/>
    </xf>
    <xf numFmtId="171" fontId="165" fillId="0" borderId="1" xfId="1" applyNumberFormat="1" applyFont="1" applyFill="1" applyBorder="1" applyAlignment="1"/>
    <xf numFmtId="171" fontId="166" fillId="0" borderId="14" xfId="1" applyNumberFormat="1" applyFont="1" applyFill="1" applyBorder="1" applyAlignment="1">
      <alignment horizontal="center" vertical="center" wrapText="1"/>
    </xf>
    <xf numFmtId="0" fontId="165" fillId="0" borderId="4" xfId="0" applyFont="1" applyFill="1" applyBorder="1" applyAlignment="1">
      <alignment horizontal="left" vertical="center" wrapText="1"/>
    </xf>
    <xf numFmtId="168" fontId="165" fillId="0" borderId="0" xfId="0" applyNumberFormat="1" applyFont="1" applyFill="1" applyBorder="1" applyAlignment="1">
      <alignment vertical="center" wrapText="1"/>
    </xf>
    <xf numFmtId="168" fontId="165" fillId="0" borderId="10" xfId="0" applyNumberFormat="1" applyFont="1" applyFill="1" applyBorder="1" applyAlignment="1">
      <alignment vertical="center" wrapText="1"/>
    </xf>
    <xf numFmtId="172" fontId="166" fillId="0" borderId="10" xfId="5" applyNumberFormat="1" applyFont="1" applyFill="1" applyBorder="1" applyAlignment="1">
      <alignment horizontal="center"/>
    </xf>
    <xf numFmtId="0" fontId="165" fillId="0" borderId="4" xfId="0" applyFont="1" applyFill="1" applyBorder="1" applyAlignment="1">
      <alignment horizontal="justify" vertical="top" wrapText="1"/>
    </xf>
    <xf numFmtId="171" fontId="165" fillId="0" borderId="10" xfId="1" applyNumberFormat="1" applyFont="1" applyFill="1" applyBorder="1" applyAlignment="1">
      <alignment horizontal="justify" vertical="top" wrapText="1"/>
    </xf>
    <xf numFmtId="172" fontId="167" fillId="0" borderId="4" xfId="5" applyNumberFormat="1" applyFont="1" applyFill="1" applyBorder="1"/>
    <xf numFmtId="172" fontId="170" fillId="0" borderId="4" xfId="5" applyNumberFormat="1" applyFont="1" applyFill="1" applyBorder="1"/>
    <xf numFmtId="172" fontId="170" fillId="0" borderId="10" xfId="5" applyNumberFormat="1" applyFont="1" applyFill="1" applyBorder="1"/>
    <xf numFmtId="166" fontId="166" fillId="0" borderId="5" xfId="1" applyNumberFormat="1" applyFont="1" applyFill="1" applyBorder="1" applyAlignment="1">
      <alignment vertical="top" wrapText="1"/>
    </xf>
    <xf numFmtId="14" fontId="166" fillId="0" borderId="13" xfId="1" applyNumberFormat="1" applyFont="1" applyFill="1" applyBorder="1" applyAlignment="1"/>
    <xf numFmtId="166" fontId="166" fillId="0" borderId="13" xfId="1" applyNumberFormat="1" applyFont="1" applyFill="1" applyBorder="1" applyAlignment="1">
      <alignment vertical="top" wrapText="1"/>
    </xf>
    <xf numFmtId="171" fontId="166" fillId="0" borderId="24" xfId="1" applyNumberFormat="1" applyFont="1" applyFill="1" applyBorder="1" applyAlignment="1"/>
    <xf numFmtId="172" fontId="165" fillId="0" borderId="4" xfId="5" applyNumberFormat="1" applyFont="1" applyFill="1" applyBorder="1" applyAlignment="1">
      <alignment wrapText="1"/>
    </xf>
    <xf numFmtId="172" fontId="165" fillId="0" borderId="10" xfId="5" applyNumberFormat="1" applyFont="1" applyFill="1" applyBorder="1" applyAlignment="1">
      <alignment wrapText="1"/>
    </xf>
    <xf numFmtId="166" fontId="165" fillId="0" borderId="4" xfId="1" applyNumberFormat="1" applyFont="1" applyFill="1" applyBorder="1" applyAlignment="1">
      <alignment horizontal="right"/>
    </xf>
    <xf numFmtId="172" fontId="165" fillId="0" borderId="10" xfId="5" applyNumberFormat="1" applyFont="1" applyFill="1" applyBorder="1"/>
    <xf numFmtId="166" fontId="165" fillId="0" borderId="5" xfId="1" applyNumberFormat="1" applyFont="1" applyFill="1" applyBorder="1" applyAlignment="1">
      <alignment horizontal="right"/>
    </xf>
    <xf numFmtId="172" fontId="170" fillId="0" borderId="4" xfId="5" applyNumberFormat="1" applyFont="1" applyFill="1" applyBorder="1" applyAlignment="1">
      <alignment wrapText="1"/>
    </xf>
    <xf numFmtId="172" fontId="170" fillId="0" borderId="0" xfId="5" applyNumberFormat="1" applyFont="1" applyFill="1" applyBorder="1" applyAlignment="1">
      <alignment wrapText="1"/>
    </xf>
    <xf numFmtId="172" fontId="170" fillId="0" borderId="10" xfId="5" applyNumberFormat="1" applyFont="1" applyFill="1" applyBorder="1" applyAlignment="1">
      <alignment wrapText="1"/>
    </xf>
    <xf numFmtId="172" fontId="165" fillId="0" borderId="0" xfId="5" applyNumberFormat="1" applyFont="1" applyFill="1" applyBorder="1" applyAlignment="1">
      <alignment vertical="top"/>
    </xf>
    <xf numFmtId="172" fontId="165" fillId="0" borderId="10" xfId="5" applyNumberFormat="1" applyFont="1" applyFill="1" applyBorder="1" applyAlignment="1">
      <alignment vertical="top"/>
    </xf>
    <xf numFmtId="171" fontId="165" fillId="0" borderId="0" xfId="1" applyNumberFormat="1" applyFont="1" applyFill="1" applyBorder="1" applyAlignment="1">
      <alignment vertical="top"/>
    </xf>
    <xf numFmtId="171" fontId="165" fillId="0" borderId="10" xfId="1" applyNumberFormat="1" applyFont="1" applyFill="1" applyBorder="1" applyAlignment="1">
      <alignment vertical="center" wrapText="1"/>
    </xf>
    <xf numFmtId="171" fontId="165" fillId="0" borderId="24" xfId="1" applyNumberFormat="1" applyFont="1" applyFill="1" applyBorder="1" applyAlignment="1"/>
    <xf numFmtId="172" fontId="165" fillId="0" borderId="0" xfId="5" applyNumberFormat="1" applyFont="1" applyFill="1" applyBorder="1" applyAlignment="1">
      <alignment horizontal="center" vertical="top"/>
    </xf>
    <xf numFmtId="9" fontId="165" fillId="0" borderId="0" xfId="6" applyFont="1" applyFill="1" applyAlignment="1"/>
    <xf numFmtId="171" fontId="165" fillId="0" borderId="0" xfId="1" applyNumberFormat="1" applyFont="1" applyFill="1" applyAlignment="1">
      <alignment horizontal="right"/>
    </xf>
    <xf numFmtId="171" fontId="166" fillId="0" borderId="80" xfId="1" applyNumberFormat="1" applyFont="1" applyFill="1" applyBorder="1" applyAlignment="1">
      <alignment horizontal="right"/>
    </xf>
    <xf numFmtId="171" fontId="166" fillId="0" borderId="83" xfId="1" applyNumberFormat="1" applyFont="1" applyFill="1" applyBorder="1" applyAlignment="1">
      <alignment horizontal="right"/>
    </xf>
    <xf numFmtId="171" fontId="166" fillId="0" borderId="80" xfId="1" applyNumberFormat="1" applyFont="1" applyFill="1" applyBorder="1" applyAlignment="1">
      <alignment vertical="center"/>
    </xf>
    <xf numFmtId="171" fontId="166" fillId="0" borderId="83" xfId="1" applyNumberFormat="1" applyFont="1" applyFill="1" applyBorder="1" applyAlignment="1">
      <alignment vertical="center"/>
    </xf>
    <xf numFmtId="0" fontId="166" fillId="0" borderId="81" xfId="0" applyFont="1" applyFill="1" applyBorder="1" applyAlignment="1">
      <alignment vertical="center" wrapText="1"/>
    </xf>
    <xf numFmtId="173" fontId="166" fillId="0" borderId="79" xfId="1" applyNumberFormat="1" applyFont="1" applyFill="1" applyBorder="1" applyAlignment="1">
      <alignment horizontal="center" vertical="center" wrapText="1"/>
    </xf>
    <xf numFmtId="171" fontId="165" fillId="0" borderId="24" xfId="1" applyNumberFormat="1" applyFont="1" applyFill="1" applyBorder="1" applyAlignment="1">
      <alignment vertical="center" wrapText="1"/>
    </xf>
    <xf numFmtId="174" fontId="165" fillId="0" borderId="80" xfId="1" applyNumberFormat="1" applyFont="1" applyFill="1" applyBorder="1" applyAlignment="1">
      <alignment horizontal="center" vertical="center" wrapText="1"/>
    </xf>
    <xf numFmtId="172" fontId="165" fillId="0" borderId="83" xfId="5" applyNumberFormat="1" applyFont="1" applyFill="1" applyBorder="1" applyAlignment="1"/>
    <xf numFmtId="1" fontId="166" fillId="0" borderId="81" xfId="5" applyNumberFormat="1" applyFont="1" applyFill="1" applyBorder="1" applyAlignment="1">
      <alignment horizontal="center"/>
    </xf>
    <xf numFmtId="171" fontId="165" fillId="0" borderId="79" xfId="1" applyNumberFormat="1" applyFont="1" applyFill="1" applyBorder="1" applyAlignment="1">
      <alignment horizontal="right"/>
    </xf>
    <xf numFmtId="171" fontId="166" fillId="0" borderId="80" xfId="1" applyNumberFormat="1" applyFont="1" applyFill="1" applyBorder="1" applyAlignment="1">
      <alignment vertical="center" wrapText="1"/>
    </xf>
    <xf numFmtId="171" fontId="165" fillId="0" borderId="79" xfId="1" applyNumberFormat="1" applyFont="1" applyFill="1" applyBorder="1" applyAlignment="1">
      <alignment vertical="center" wrapText="1"/>
    </xf>
    <xf numFmtId="171" fontId="166" fillId="0" borderId="85" xfId="1" applyNumberFormat="1" applyFont="1" applyFill="1" applyBorder="1" applyAlignment="1">
      <alignment horizontal="right"/>
    </xf>
    <xf numFmtId="43" fontId="165" fillId="0" borderId="14" xfId="1" applyFont="1" applyFill="1" applyBorder="1" applyAlignment="1">
      <alignment horizontal="right"/>
    </xf>
    <xf numFmtId="1" fontId="166" fillId="0" borderId="1" xfId="5" applyNumberFormat="1" applyFont="1" applyFill="1" applyBorder="1" applyAlignment="1">
      <alignment horizontal="left"/>
    </xf>
    <xf numFmtId="172" fontId="166" fillId="0" borderId="81" xfId="5" applyNumberFormat="1" applyFont="1" applyFill="1" applyBorder="1" applyAlignment="1">
      <alignment horizontal="left" vertical="center"/>
    </xf>
    <xf numFmtId="171" fontId="168" fillId="0" borderId="14" xfId="1" applyNumberFormat="1" applyFont="1" applyFill="1" applyBorder="1" applyAlignment="1"/>
    <xf numFmtId="171" fontId="165" fillId="0" borderId="85" xfId="1" applyNumberFormat="1" applyFont="1" applyFill="1" applyBorder="1"/>
    <xf numFmtId="171" fontId="165" fillId="0" borderId="80" xfId="1" applyNumberFormat="1" applyFont="1" applyFill="1" applyBorder="1"/>
    <xf numFmtId="171" fontId="166" fillId="0" borderId="18" xfId="1" applyNumberFormat="1" applyFont="1" applyFill="1" applyBorder="1"/>
    <xf numFmtId="171" fontId="166" fillId="0" borderId="85" xfId="1" applyNumberFormat="1" applyFont="1" applyFill="1" applyBorder="1"/>
    <xf numFmtId="171" fontId="166" fillId="0" borderId="80" xfId="1" applyNumberFormat="1" applyFont="1" applyFill="1" applyBorder="1"/>
    <xf numFmtId="171" fontId="165" fillId="0" borderId="79" xfId="1" applyNumberFormat="1" applyFont="1" applyFill="1" applyBorder="1"/>
    <xf numFmtId="171" fontId="165" fillId="0" borderId="85" xfId="9" applyNumberFormat="1" applyFont="1" applyFill="1" applyBorder="1"/>
    <xf numFmtId="171" fontId="165" fillId="0" borderId="80" xfId="9" applyNumberFormat="1" applyFont="1" applyFill="1" applyBorder="1"/>
    <xf numFmtId="171" fontId="166" fillId="0" borderId="80" xfId="9" applyNumberFormat="1" applyFont="1" applyFill="1" applyBorder="1"/>
    <xf numFmtId="171" fontId="166" fillId="0" borderId="10" xfId="9" applyNumberFormat="1" applyFont="1" applyFill="1" applyBorder="1"/>
    <xf numFmtId="171" fontId="165" fillId="0" borderId="10" xfId="1" applyNumberFormat="1" applyFont="1" applyFill="1" applyBorder="1" applyAlignment="1">
      <alignment horizontal="center" vertical="center"/>
    </xf>
    <xf numFmtId="1" fontId="166" fillId="0" borderId="83" xfId="5" applyNumberFormat="1" applyFont="1" applyFill="1" applyBorder="1" applyAlignment="1">
      <alignment horizontal="center"/>
    </xf>
    <xf numFmtId="171" fontId="165" fillId="0" borderId="79" xfId="1" applyNumberFormat="1" applyFont="1" applyFill="1" applyBorder="1" applyAlignment="1"/>
    <xf numFmtId="171" fontId="166" fillId="0" borderId="79" xfId="1" applyNumberFormat="1" applyFont="1" applyFill="1" applyBorder="1" applyAlignment="1">
      <alignment horizontal="right"/>
    </xf>
    <xf numFmtId="171" fontId="166" fillId="0" borderId="86" xfId="1" applyNumberFormat="1" applyFont="1" applyFill="1" applyBorder="1" applyAlignment="1">
      <alignment horizontal="right"/>
    </xf>
    <xf numFmtId="171" fontId="166" fillId="0" borderId="18" xfId="1" applyNumberFormat="1" applyFont="1" applyFill="1" applyBorder="1" applyAlignment="1"/>
    <xf numFmtId="1" fontId="165" fillId="0" borderId="79" xfId="5" applyNumberFormat="1" applyFont="1" applyFill="1" applyBorder="1" applyAlignment="1"/>
    <xf numFmtId="171" fontId="166" fillId="0" borderId="80" xfId="0" applyNumberFormat="1" applyFont="1" applyFill="1" applyBorder="1"/>
    <xf numFmtId="171" fontId="166" fillId="0" borderId="79" xfId="1" applyNumberFormat="1" applyFont="1" applyFill="1" applyBorder="1" applyAlignment="1">
      <alignment horizontal="center"/>
    </xf>
    <xf numFmtId="171" fontId="166" fillId="0" borderId="86" xfId="1" applyNumberFormat="1" applyFont="1" applyFill="1" applyBorder="1" applyAlignment="1">
      <alignment horizontal="center"/>
    </xf>
    <xf numFmtId="172" fontId="167" fillId="0" borderId="85" xfId="0" applyNumberFormat="1" applyFont="1" applyFill="1" applyBorder="1" applyAlignment="1">
      <alignment horizontal="left" vertical="top"/>
    </xf>
    <xf numFmtId="172" fontId="167" fillId="0" borderId="82" xfId="0" applyNumberFormat="1" applyFont="1" applyFill="1" applyBorder="1" applyAlignment="1">
      <alignment horizontal="left" vertical="top"/>
    </xf>
    <xf numFmtId="171" fontId="166" fillId="0" borderId="86" xfId="1" applyNumberFormat="1" applyFont="1" applyFill="1" applyBorder="1" applyAlignment="1">
      <alignment horizontal="left"/>
    </xf>
    <xf numFmtId="1" fontId="166" fillId="0" borderId="83" xfId="5" applyNumberFormat="1" applyFont="1" applyFill="1" applyBorder="1" applyAlignment="1"/>
    <xf numFmtId="172" fontId="166" fillId="0" borderId="81" xfId="5" applyNumberFormat="1" applyFont="1" applyFill="1" applyBorder="1" applyAlignment="1">
      <alignment wrapText="1"/>
    </xf>
    <xf numFmtId="171" fontId="166" fillId="0" borderId="80" xfId="1" applyNumberFormat="1" applyFont="1" applyFill="1" applyBorder="1" applyAlignment="1">
      <alignment vertical="top"/>
    </xf>
    <xf numFmtId="0" fontId="167" fillId="0" borderId="81" xfId="0" applyFont="1" applyFill="1" applyBorder="1"/>
    <xf numFmtId="171" fontId="165" fillId="0" borderId="83" xfId="1" applyNumberFormat="1" applyFont="1" applyFill="1" applyBorder="1" applyAlignment="1">
      <alignment horizontal="justify" vertical="top"/>
    </xf>
    <xf numFmtId="9" fontId="167" fillId="0" borderId="81" xfId="2" applyFont="1" applyFill="1" applyBorder="1" applyAlignment="1"/>
    <xf numFmtId="9" fontId="165" fillId="0" borderId="81" xfId="6" applyFont="1" applyFill="1" applyBorder="1" applyAlignment="1"/>
    <xf numFmtId="0" fontId="165" fillId="0" borderId="2" xfId="0" applyFont="1" applyFill="1" applyBorder="1"/>
    <xf numFmtId="171" fontId="166" fillId="0" borderId="81" xfId="1" applyNumberFormat="1" applyFont="1" applyFill="1" applyBorder="1"/>
    <xf numFmtId="171" fontId="166" fillId="0" borderId="79" xfId="1" applyNumberFormat="1" applyFont="1" applyFill="1" applyBorder="1"/>
    <xf numFmtId="166" fontId="166" fillId="0" borderId="81" xfId="1" applyNumberFormat="1" applyFont="1" applyFill="1" applyBorder="1" applyAlignment="1">
      <alignment vertical="top" wrapText="1"/>
    </xf>
    <xf numFmtId="171" fontId="166" fillId="0" borderId="79" xfId="1" applyNumberFormat="1" applyFont="1" applyFill="1" applyBorder="1" applyAlignment="1">
      <alignment vertical="top" wrapText="1"/>
    </xf>
    <xf numFmtId="171" fontId="166" fillId="0" borderId="83" xfId="1" applyNumberFormat="1" applyFont="1" applyFill="1" applyBorder="1" applyAlignment="1">
      <alignment vertical="top" wrapText="1"/>
    </xf>
    <xf numFmtId="171" fontId="166" fillId="0" borderId="17" xfId="1" applyNumberFormat="1" applyFont="1" applyFill="1" applyBorder="1" applyAlignment="1">
      <alignment vertical="center"/>
    </xf>
    <xf numFmtId="171" fontId="166" fillId="0" borderId="18" xfId="1" applyNumberFormat="1" applyFont="1" applyFill="1" applyBorder="1" applyAlignment="1">
      <alignment vertical="center"/>
    </xf>
    <xf numFmtId="1" fontId="165" fillId="0" borderId="4" xfId="5" applyNumberFormat="1" applyFont="1" applyFill="1" applyBorder="1" applyAlignment="1">
      <alignment horizontal="left"/>
    </xf>
    <xf numFmtId="1" fontId="166" fillId="0" borderId="83" xfId="5" applyNumberFormat="1" applyFont="1" applyFill="1" applyBorder="1" applyAlignment="1">
      <alignment horizontal="center" vertical="center"/>
    </xf>
    <xf numFmtId="0" fontId="18" fillId="0" borderId="4" xfId="0" applyFont="1" applyFill="1" applyBorder="1" applyAlignment="1">
      <alignment horizontal="left" wrapText="1"/>
    </xf>
    <xf numFmtId="0" fontId="18" fillId="0" borderId="0" xfId="0" applyFont="1" applyFill="1" applyBorder="1" applyAlignment="1">
      <alignment horizontal="left" wrapText="1"/>
    </xf>
    <xf numFmtId="0" fontId="18" fillId="0" borderId="10" xfId="0" applyFont="1" applyFill="1" applyBorder="1" applyAlignment="1">
      <alignment horizontal="left" wrapText="1"/>
    </xf>
    <xf numFmtId="0" fontId="166" fillId="0" borderId="4" xfId="0" applyFont="1" applyFill="1" applyBorder="1" applyAlignment="1">
      <alignment horizontal="left" vertical="top" wrapText="1"/>
    </xf>
    <xf numFmtId="0" fontId="166" fillId="0" borderId="0" xfId="0" applyFont="1" applyFill="1" applyBorder="1" applyAlignment="1">
      <alignment horizontal="left" vertical="top" wrapText="1"/>
    </xf>
    <xf numFmtId="0" fontId="165" fillId="0" borderId="4" xfId="5" applyNumberFormat="1" applyFont="1" applyFill="1" applyBorder="1" applyAlignment="1">
      <alignment horizontal="justify" vertical="top" wrapText="1"/>
    </xf>
    <xf numFmtId="0" fontId="165" fillId="0" borderId="0" xfId="5" applyNumberFormat="1" applyFont="1" applyFill="1" applyBorder="1" applyAlignment="1">
      <alignment horizontal="justify" vertical="top" wrapText="1"/>
    </xf>
    <xf numFmtId="0" fontId="165" fillId="0" borderId="10" xfId="5" applyNumberFormat="1" applyFont="1" applyFill="1" applyBorder="1" applyAlignment="1">
      <alignment horizontal="justify" vertical="top" wrapText="1"/>
    </xf>
    <xf numFmtId="0" fontId="166" fillId="0" borderId="4" xfId="0" applyFont="1" applyFill="1" applyBorder="1" applyAlignment="1">
      <alignment horizontal="center" vertical="center" wrapText="1"/>
    </xf>
    <xf numFmtId="0" fontId="165" fillId="0" borderId="4" xfId="0" applyFont="1" applyFill="1" applyBorder="1" applyAlignment="1">
      <alignment horizontal="left" vertical="top" wrapText="1"/>
    </xf>
    <xf numFmtId="0" fontId="165" fillId="0" borderId="0" xfId="0" applyFont="1" applyFill="1" applyBorder="1" applyAlignment="1">
      <alignment horizontal="left" vertical="top" wrapText="1"/>
    </xf>
    <xf numFmtId="0" fontId="165" fillId="0" borderId="10" xfId="0" applyFont="1" applyFill="1" applyBorder="1" applyAlignment="1">
      <alignment horizontal="left" vertical="top" wrapText="1"/>
    </xf>
    <xf numFmtId="1" fontId="166" fillId="0" borderId="79" xfId="5" applyNumberFormat="1" applyFont="1" applyFill="1" applyBorder="1" applyAlignment="1">
      <alignment horizontal="center" vertical="center" wrapText="1"/>
    </xf>
    <xf numFmtId="0" fontId="165" fillId="0" borderId="10" xfId="5" applyNumberFormat="1" applyFont="1" applyFill="1" applyBorder="1" applyAlignment="1">
      <alignment horizontal="left" vertical="top" wrapText="1"/>
    </xf>
    <xf numFmtId="0" fontId="165" fillId="0" borderId="85" xfId="5" applyNumberFormat="1" applyFont="1" applyFill="1" applyBorder="1" applyAlignment="1">
      <alignment horizontal="left" vertical="top"/>
    </xf>
    <xf numFmtId="0" fontId="165" fillId="0" borderId="82" xfId="5" applyNumberFormat="1" applyFont="1" applyFill="1" applyBorder="1" applyAlignment="1">
      <alignment horizontal="left" vertical="top"/>
    </xf>
    <xf numFmtId="0" fontId="165" fillId="0" borderId="86" xfId="5" applyNumberFormat="1" applyFont="1" applyFill="1" applyBorder="1" applyAlignment="1">
      <alignment horizontal="left" vertical="top"/>
    </xf>
    <xf numFmtId="174" fontId="75" fillId="64" borderId="80" xfId="32" applyNumberFormat="1" applyFont="1" applyFill="1" applyBorder="1" applyAlignment="1">
      <alignment horizontal="center" vertical="center" wrapText="1"/>
    </xf>
    <xf numFmtId="174" fontId="75" fillId="63" borderId="80" xfId="32" applyNumberFormat="1" applyFont="1" applyFill="1" applyBorder="1" applyAlignment="1">
      <alignment horizontal="center" vertical="center" wrapText="1"/>
    </xf>
    <xf numFmtId="0" fontId="166" fillId="0" borderId="1" xfId="0" applyFont="1" applyFill="1" applyBorder="1" applyAlignment="1">
      <alignment horizontal="right"/>
    </xf>
    <xf numFmtId="9" fontId="166" fillId="0" borderId="4" xfId="6" applyFont="1" applyFill="1" applyBorder="1" applyAlignment="1">
      <alignment horizontal="left" wrapText="1"/>
    </xf>
    <xf numFmtId="9" fontId="166" fillId="0" borderId="0" xfId="6" applyFont="1" applyFill="1" applyBorder="1" applyAlignment="1">
      <alignment horizontal="left" wrapText="1"/>
    </xf>
    <xf numFmtId="9" fontId="166" fillId="0" borderId="10" xfId="6" applyFont="1" applyFill="1" applyBorder="1" applyAlignment="1">
      <alignment horizontal="left" wrapText="1"/>
    </xf>
    <xf numFmtId="171" fontId="166" fillId="0" borderId="24" xfId="1" applyNumberFormat="1" applyFont="1" applyFill="1" applyBorder="1" applyAlignment="1">
      <alignment horizontal="center"/>
    </xf>
    <xf numFmtId="9" fontId="165" fillId="0" borderId="10" xfId="2" applyNumberFormat="1" applyFont="1" applyFill="1" applyBorder="1" applyAlignment="1">
      <alignment horizontal="right"/>
    </xf>
    <xf numFmtId="9" fontId="165" fillId="0" borderId="10" xfId="2" applyFont="1" applyFill="1" applyBorder="1" applyAlignment="1">
      <alignment horizontal="right"/>
    </xf>
    <xf numFmtId="0" fontId="166" fillId="0" borderId="5" xfId="5" applyNumberFormat="1" applyFont="1" applyFill="1" applyBorder="1" applyAlignment="1">
      <alignment horizontal="center" wrapText="1"/>
    </xf>
    <xf numFmtId="166" fontId="165" fillId="0" borderId="1" xfId="5" applyNumberFormat="1" applyFont="1" applyFill="1" applyBorder="1" applyAlignment="1">
      <alignment horizontal="justify" vertical="top" wrapText="1"/>
    </xf>
    <xf numFmtId="14" fontId="11" fillId="0" borderId="0" xfId="30" applyNumberFormat="1" applyFill="1"/>
    <xf numFmtId="171" fontId="156" fillId="0" borderId="80" xfId="1" applyNumberFormat="1" applyFont="1" applyFill="1" applyBorder="1" applyAlignment="1">
      <alignment horizontal="center"/>
    </xf>
    <xf numFmtId="0" fontId="75" fillId="62" borderId="80" xfId="553" applyFont="1" applyFill="1" applyBorder="1" applyAlignment="1">
      <alignment horizontal="center"/>
    </xf>
    <xf numFmtId="171" fontId="11" fillId="0" borderId="14" xfId="1" applyNumberFormat="1" applyFont="1" applyFill="1" applyBorder="1"/>
    <xf numFmtId="171" fontId="11" fillId="0" borderId="4" xfId="1" applyNumberFormat="1" applyFont="1" applyBorder="1"/>
    <xf numFmtId="171" fontId="11" fillId="0" borderId="14" xfId="1" applyNumberFormat="1" applyFont="1" applyBorder="1"/>
    <xf numFmtId="171" fontId="72" fillId="0" borderId="14" xfId="1" applyNumberFormat="1" applyFont="1" applyBorder="1"/>
    <xf numFmtId="171" fontId="11" fillId="0" borderId="0" xfId="1" applyNumberFormat="1" applyFont="1" applyFill="1"/>
    <xf numFmtId="171" fontId="72" fillId="0" borderId="79" xfId="1" applyNumberFormat="1" applyFont="1" applyBorder="1"/>
    <xf numFmtId="171" fontId="72" fillId="0" borderId="14" xfId="1" applyNumberFormat="1" applyFont="1" applyFill="1" applyBorder="1"/>
    <xf numFmtId="171" fontId="74" fillId="0" borderId="13" xfId="1" applyNumberFormat="1" applyFont="1" applyBorder="1"/>
    <xf numFmtId="9" fontId="73" fillId="0" borderId="81" xfId="31" applyFont="1" applyFill="1" applyBorder="1"/>
    <xf numFmtId="0" fontId="69" fillId="0" borderId="2" xfId="30" applyFont="1" applyFill="1" applyBorder="1"/>
    <xf numFmtId="174" fontId="69" fillId="0" borderId="2" xfId="30" applyNumberFormat="1" applyFont="1" applyFill="1" applyBorder="1"/>
    <xf numFmtId="174" fontId="69" fillId="0" borderId="2" xfId="15" applyNumberFormat="1" applyFont="1" applyFill="1" applyBorder="1"/>
    <xf numFmtId="174" fontId="69" fillId="0" borderId="83" xfId="30" applyNumberFormat="1" applyFont="1" applyFill="1" applyBorder="1"/>
    <xf numFmtId="9" fontId="74" fillId="0" borderId="4" xfId="31" applyFont="1" applyFill="1" applyBorder="1"/>
    <xf numFmtId="0" fontId="69" fillId="0" borderId="0" xfId="30" applyFont="1" applyFill="1" applyBorder="1"/>
    <xf numFmtId="174" fontId="69" fillId="0" borderId="0" xfId="15" applyNumberFormat="1" applyFont="1" applyFill="1" applyBorder="1"/>
    <xf numFmtId="168" fontId="69" fillId="0" borderId="10" xfId="30" applyNumberFormat="1" applyFont="1" applyFill="1" applyBorder="1"/>
    <xf numFmtId="0" fontId="11" fillId="0" borderId="0" xfId="30" applyFill="1" applyBorder="1"/>
    <xf numFmtId="0" fontId="69" fillId="0" borderId="10" xfId="30" applyFont="1" applyFill="1" applyBorder="1"/>
    <xf numFmtId="0" fontId="156" fillId="0" borderId="80" xfId="32" applyNumberFormat="1" applyFont="1" applyFill="1" applyBorder="1" applyAlignment="1">
      <alignment horizontal="center"/>
    </xf>
    <xf numFmtId="174" fontId="72" fillId="0" borderId="80" xfId="15" applyNumberFormat="1" applyFont="1" applyFill="1" applyBorder="1"/>
    <xf numFmtId="174" fontId="72" fillId="0" borderId="80" xfId="32" applyNumberFormat="1" applyFont="1" applyFill="1" applyBorder="1"/>
    <xf numFmtId="174" fontId="74" fillId="0" borderId="80" xfId="32" applyNumberFormat="1" applyFont="1" applyFill="1" applyBorder="1" applyAlignment="1">
      <alignment horizontal="center"/>
    </xf>
    <xf numFmtId="174" fontId="156" fillId="0" borderId="80" xfId="15" applyNumberFormat="1" applyFont="1" applyFill="1" applyBorder="1"/>
    <xf numFmtId="174" fontId="74" fillId="0" borderId="80" xfId="15" applyNumberFormat="1" applyFont="1" applyFill="1" applyBorder="1"/>
    <xf numFmtId="174" fontId="155" fillId="0" borderId="80" xfId="32" applyNumberFormat="1" applyFont="1" applyFill="1" applyBorder="1"/>
    <xf numFmtId="0" fontId="72" fillId="0" borderId="80" xfId="749" applyNumberFormat="1" applyFont="1" applyFill="1" applyBorder="1" applyAlignment="1">
      <alignment horizontal="center"/>
    </xf>
    <xf numFmtId="174" fontId="72" fillId="0" borderId="80" xfId="749" applyNumberFormat="1" applyFont="1" applyFill="1" applyBorder="1"/>
    <xf numFmtId="43" fontId="72" fillId="0" borderId="80" xfId="1336" applyFont="1" applyFill="1" applyBorder="1"/>
    <xf numFmtId="174" fontId="72" fillId="0" borderId="80" xfId="1336" applyNumberFormat="1" applyFont="1" applyFill="1" applyBorder="1"/>
    <xf numFmtId="0" fontId="11" fillId="0" borderId="4" xfId="30" applyFill="1" applyBorder="1"/>
    <xf numFmtId="174" fontId="0" fillId="0" borderId="0" xfId="15" applyNumberFormat="1" applyFont="1" applyFill="1" applyBorder="1"/>
    <xf numFmtId="0" fontId="11" fillId="0" borderId="10" xfId="30" applyFill="1" applyBorder="1"/>
    <xf numFmtId="0" fontId="11" fillId="0" borderId="0" xfId="30" applyFont="1" applyFill="1" applyBorder="1"/>
    <xf numFmtId="168" fontId="11" fillId="0" borderId="10" xfId="30" applyNumberFormat="1" applyFill="1" applyBorder="1"/>
    <xf numFmtId="0" fontId="11" fillId="0" borderId="80" xfId="30" applyFill="1" applyBorder="1"/>
    <xf numFmtId="174" fontId="74" fillId="0" borderId="80" xfId="32" applyNumberFormat="1" applyFont="1" applyBorder="1" applyAlignment="1">
      <alignment horizontal="center"/>
    </xf>
    <xf numFmtId="171" fontId="158" fillId="0" borderId="86" xfId="1" applyNumberFormat="1" applyFont="1" applyBorder="1"/>
    <xf numFmtId="171" fontId="158" fillId="0" borderId="80" xfId="1" applyNumberFormat="1" applyFont="1" applyBorder="1"/>
    <xf numFmtId="166" fontId="158" fillId="0" borderId="80" xfId="1" applyNumberFormat="1" applyFont="1" applyBorder="1"/>
    <xf numFmtId="0" fontId="156" fillId="0" borderId="79" xfId="32" applyNumberFormat="1" applyFont="1" applyFill="1" applyBorder="1" applyAlignment="1">
      <alignment horizontal="center"/>
    </xf>
    <xf numFmtId="174" fontId="74" fillId="0" borderId="79" xfId="32" applyNumberFormat="1" applyFont="1" applyFill="1" applyBorder="1"/>
    <xf numFmtId="0" fontId="72" fillId="0" borderId="79" xfId="30" applyFont="1" applyFill="1" applyBorder="1"/>
    <xf numFmtId="174" fontId="72" fillId="0" borderId="79" xfId="15" applyNumberFormat="1" applyFont="1" applyFill="1" applyBorder="1"/>
    <xf numFmtId="168" fontId="72" fillId="0" borderId="79" xfId="15" applyFont="1" applyFill="1" applyBorder="1"/>
    <xf numFmtId="174" fontId="76" fillId="0" borderId="14" xfId="15" applyNumberFormat="1" applyFont="1" applyFill="1" applyBorder="1"/>
    <xf numFmtId="0" fontId="72" fillId="0" borderId="13" xfId="32" applyNumberFormat="1" applyFont="1" applyFill="1" applyBorder="1" applyAlignment="1">
      <alignment horizontal="center"/>
    </xf>
    <xf numFmtId="174" fontId="72" fillId="0" borderId="13" xfId="32" applyNumberFormat="1" applyFont="1" applyFill="1" applyBorder="1"/>
    <xf numFmtId="174" fontId="72" fillId="0" borderId="13" xfId="15" applyNumberFormat="1" applyFont="1" applyFill="1" applyBorder="1"/>
    <xf numFmtId="0" fontId="72" fillId="0" borderId="79" xfId="32" applyNumberFormat="1" applyFont="1" applyFill="1" applyBorder="1" applyAlignment="1">
      <alignment horizontal="center"/>
    </xf>
    <xf numFmtId="174" fontId="72" fillId="0" borderId="79" xfId="32" applyNumberFormat="1" applyFont="1" applyFill="1" applyBorder="1"/>
    <xf numFmtId="171" fontId="72" fillId="0" borderId="79" xfId="1" applyNumberFormat="1" applyFont="1" applyFill="1" applyBorder="1"/>
    <xf numFmtId="171" fontId="72" fillId="0" borderId="13" xfId="1" applyNumberFormat="1" applyFont="1" applyFill="1" applyBorder="1" applyAlignment="1">
      <alignment horizontal="center"/>
    </xf>
    <xf numFmtId="171" fontId="72" fillId="0" borderId="13" xfId="1" applyNumberFormat="1" applyFont="1" applyFill="1" applyBorder="1"/>
    <xf numFmtId="171" fontId="74" fillId="0" borderId="80" xfId="1" applyNumberFormat="1" applyFont="1" applyFill="1" applyBorder="1"/>
    <xf numFmtId="1" fontId="166" fillId="0" borderId="10" xfId="5" applyNumberFormat="1" applyFont="1" applyFill="1" applyBorder="1" applyAlignment="1">
      <alignment horizontal="left"/>
    </xf>
    <xf numFmtId="1" fontId="165" fillId="0" borderId="10" xfId="5" applyNumberFormat="1" applyFont="1" applyFill="1" applyBorder="1" applyAlignment="1">
      <alignment horizontal="left"/>
    </xf>
    <xf numFmtId="0" fontId="166" fillId="0" borderId="10" xfId="0" applyFont="1" applyFill="1" applyBorder="1" applyAlignment="1">
      <alignment horizontal="right"/>
    </xf>
    <xf numFmtId="9" fontId="165" fillId="0" borderId="10" xfId="6" applyFont="1" applyFill="1" applyBorder="1" applyAlignment="1">
      <alignment horizontal="right"/>
    </xf>
    <xf numFmtId="171" fontId="165" fillId="0" borderId="10" xfId="1" applyNumberFormat="1" applyFont="1" applyFill="1" applyBorder="1" applyAlignment="1">
      <alignment horizontal="right" vertical="center"/>
    </xf>
    <xf numFmtId="0" fontId="165" fillId="0" borderId="10" xfId="0" applyFont="1" applyFill="1" applyBorder="1"/>
    <xf numFmtId="0" fontId="165" fillId="0" borderId="83" xfId="0" applyFont="1" applyFill="1" applyBorder="1"/>
    <xf numFmtId="0" fontId="165" fillId="0" borderId="10" xfId="0" applyFont="1" applyFill="1" applyBorder="1" applyAlignment="1">
      <alignment horizontal="justify" vertical="top" wrapText="1"/>
    </xf>
    <xf numFmtId="43" fontId="171" fillId="66" borderId="0" xfId="1" applyFont="1" applyFill="1" applyBorder="1" applyAlignment="1">
      <alignment horizontal="right"/>
    </xf>
    <xf numFmtId="172" fontId="171" fillId="66" borderId="0" xfId="5" applyNumberFormat="1" applyFont="1" applyFill="1" applyBorder="1" applyAlignment="1"/>
    <xf numFmtId="43" fontId="172" fillId="66" borderId="0" xfId="1" applyFont="1" applyFill="1" applyBorder="1" applyAlignment="1"/>
    <xf numFmtId="167" fontId="172" fillId="66" borderId="0" xfId="6" applyNumberFormat="1" applyFont="1" applyFill="1" applyBorder="1" applyAlignment="1"/>
    <xf numFmtId="43" fontId="171" fillId="66" borderId="0" xfId="1" applyFont="1" applyFill="1" applyBorder="1" applyAlignment="1"/>
    <xf numFmtId="171" fontId="171" fillId="66" borderId="0" xfId="1" applyNumberFormat="1" applyFont="1" applyFill="1" applyBorder="1" applyAlignment="1">
      <alignment horizontal="right"/>
    </xf>
    <xf numFmtId="14" fontId="171" fillId="66" borderId="0" xfId="5" applyNumberFormat="1" applyFont="1" applyFill="1" applyBorder="1" applyAlignment="1"/>
    <xf numFmtId="43" fontId="171" fillId="66" borderId="0" xfId="1" applyFont="1" applyFill="1" applyBorder="1" applyAlignment="1">
      <alignment vertical="center" wrapText="1"/>
    </xf>
    <xf numFmtId="43" fontId="172" fillId="66" borderId="0" xfId="1" applyFont="1" applyFill="1" applyBorder="1" applyAlignment="1">
      <alignment horizontal="left"/>
    </xf>
    <xf numFmtId="43" fontId="171" fillId="66" borderId="0" xfId="1" applyFont="1" applyFill="1" applyBorder="1" applyAlignment="1">
      <alignment horizontal="left"/>
    </xf>
    <xf numFmtId="43" fontId="172" fillId="66" borderId="0" xfId="1" applyFont="1" applyFill="1" applyBorder="1" applyAlignment="1">
      <alignment vertical="center" wrapText="1"/>
    </xf>
    <xf numFmtId="10" fontId="171" fillId="66" borderId="10" xfId="2" applyNumberFormat="1" applyFont="1" applyFill="1" applyBorder="1" applyAlignment="1"/>
    <xf numFmtId="10" fontId="171" fillId="66" borderId="0" xfId="2" applyNumberFormat="1" applyFont="1" applyFill="1" applyBorder="1" applyAlignment="1"/>
    <xf numFmtId="175" fontId="171" fillId="66" borderId="0" xfId="5" applyNumberFormat="1" applyFont="1" applyFill="1" applyBorder="1" applyAlignment="1"/>
    <xf numFmtId="43" fontId="172" fillId="66" borderId="0" xfId="1" applyFont="1" applyFill="1" applyBorder="1" applyAlignment="1">
      <alignment vertical="center"/>
    </xf>
    <xf numFmtId="172" fontId="172" fillId="66" borderId="0" xfId="5" applyNumberFormat="1" applyFont="1" applyFill="1" applyBorder="1" applyAlignment="1">
      <alignment vertical="center"/>
    </xf>
    <xf numFmtId="172" fontId="171" fillId="66" borderId="2" xfId="5" applyNumberFormat="1" applyFont="1" applyFill="1" applyBorder="1" applyAlignment="1"/>
    <xf numFmtId="0" fontId="172" fillId="66" borderId="0" xfId="0" applyFont="1" applyFill="1" applyBorder="1" applyAlignment="1">
      <alignment vertical="center" wrapText="1"/>
    </xf>
    <xf numFmtId="43" fontId="172" fillId="66" borderId="0" xfId="1" applyFont="1" applyFill="1" applyBorder="1" applyAlignment="1">
      <alignment horizontal="center"/>
    </xf>
    <xf numFmtId="171" fontId="172" fillId="66" borderId="0" xfId="1" applyNumberFormat="1" applyFont="1" applyFill="1" applyBorder="1" applyAlignment="1">
      <alignment horizontal="center"/>
    </xf>
    <xf numFmtId="43" fontId="171" fillId="66" borderId="0" xfId="1" applyFont="1" applyFill="1" applyBorder="1" applyAlignment="1">
      <alignment horizontal="center" vertical="center"/>
    </xf>
    <xf numFmtId="171" fontId="171" fillId="66" borderId="0" xfId="1" applyNumberFormat="1" applyFont="1" applyFill="1" applyBorder="1"/>
    <xf numFmtId="171" fontId="171" fillId="66" borderId="0" xfId="1" applyNumberFormat="1" applyFont="1" applyFill="1" applyBorder="1" applyAlignment="1">
      <alignment vertical="center" wrapText="1"/>
    </xf>
    <xf numFmtId="172" fontId="172" fillId="66" borderId="0" xfId="5" applyNumberFormat="1" applyFont="1" applyFill="1" applyBorder="1" applyAlignment="1"/>
    <xf numFmtId="172" fontId="172" fillId="66" borderId="10" xfId="5" applyNumberFormat="1" applyFont="1" applyFill="1" applyBorder="1" applyAlignment="1"/>
    <xf numFmtId="43" fontId="171" fillId="66" borderId="0" xfId="1" applyFont="1" applyFill="1" applyBorder="1"/>
    <xf numFmtId="0" fontId="171" fillId="66" borderId="0" xfId="0" applyFont="1" applyFill="1" applyBorder="1"/>
    <xf numFmtId="0" fontId="171" fillId="66" borderId="0" xfId="0" applyFont="1" applyFill="1"/>
    <xf numFmtId="174" fontId="171" fillId="66" borderId="0" xfId="0" applyNumberFormat="1" applyFont="1" applyFill="1" applyBorder="1"/>
    <xf numFmtId="166" fontId="171" fillId="66" borderId="0" xfId="0" applyNumberFormat="1" applyFont="1" applyFill="1"/>
    <xf numFmtId="43" fontId="172" fillId="66" borderId="83" xfId="1" applyFont="1" applyFill="1" applyBorder="1" applyAlignment="1"/>
    <xf numFmtId="43" fontId="172" fillId="66" borderId="10" xfId="1" applyFont="1" applyFill="1" applyBorder="1" applyAlignment="1"/>
    <xf numFmtId="43" fontId="171" fillId="66" borderId="10" xfId="1" applyFont="1" applyFill="1" applyBorder="1" applyAlignment="1"/>
    <xf numFmtId="43" fontId="171" fillId="66" borderId="24" xfId="1" applyFont="1" applyFill="1" applyBorder="1" applyAlignment="1"/>
    <xf numFmtId="43" fontId="171" fillId="66" borderId="0" xfId="1" applyFont="1" applyFill="1" applyBorder="1" applyAlignment="1">
      <alignment vertical="top" wrapText="1"/>
    </xf>
    <xf numFmtId="0" fontId="171" fillId="66" borderId="0" xfId="0" applyFont="1" applyFill="1" applyBorder="1" applyAlignment="1">
      <alignment vertical="top" wrapText="1"/>
    </xf>
    <xf numFmtId="171" fontId="172" fillId="66" borderId="0" xfId="1" applyNumberFormat="1" applyFont="1" applyFill="1" applyBorder="1"/>
    <xf numFmtId="172" fontId="172" fillId="66" borderId="0" xfId="5" applyNumberFormat="1" applyFont="1" applyFill="1" applyBorder="1" applyAlignment="1">
      <alignment horizontal="center"/>
    </xf>
    <xf numFmtId="9" fontId="172" fillId="66" borderId="0" xfId="6" applyFont="1" applyFill="1" applyBorder="1" applyAlignment="1"/>
    <xf numFmtId="171" fontId="171" fillId="66" borderId="0" xfId="1" applyNumberFormat="1" applyFont="1" applyFill="1" applyBorder="1" applyAlignment="1">
      <alignment horizontal="justify" vertical="top"/>
    </xf>
    <xf numFmtId="0" fontId="171" fillId="66" borderId="0" xfId="0" applyFont="1" applyFill="1" applyBorder="1" applyAlignment="1">
      <alignment horizontal="justify" vertical="top" wrapText="1"/>
    </xf>
    <xf numFmtId="171" fontId="171" fillId="66" borderId="0" xfId="1" applyNumberFormat="1" applyFont="1" applyFill="1" applyBorder="1" applyAlignment="1">
      <alignment horizontal="justify" vertical="top" wrapText="1"/>
    </xf>
    <xf numFmtId="0" fontId="171" fillId="66" borderId="0" xfId="5" applyNumberFormat="1" applyFont="1" applyFill="1" applyBorder="1" applyAlignment="1">
      <alignment wrapText="1"/>
    </xf>
    <xf numFmtId="171" fontId="172" fillId="66" borderId="0" xfId="1" applyNumberFormat="1" applyFont="1" applyFill="1" applyBorder="1" applyAlignment="1">
      <alignment horizontal="right"/>
    </xf>
    <xf numFmtId="9" fontId="172" fillId="66" borderId="10" xfId="6" applyFont="1" applyFill="1" applyBorder="1" applyAlignment="1"/>
    <xf numFmtId="0" fontId="171" fillId="66" borderId="10" xfId="0" applyFont="1" applyFill="1" applyBorder="1" applyAlignment="1">
      <alignment vertical="top" wrapText="1"/>
    </xf>
    <xf numFmtId="171" fontId="171" fillId="66" borderId="0" xfId="1" applyNumberFormat="1" applyFont="1" applyFill="1" applyBorder="1" applyAlignment="1">
      <alignment vertical="top"/>
    </xf>
    <xf numFmtId="171" fontId="172" fillId="66" borderId="0" xfId="1" applyNumberFormat="1" applyFont="1" applyFill="1" applyBorder="1" applyAlignment="1">
      <alignment horizontal="left"/>
    </xf>
    <xf numFmtId="171" fontId="171" fillId="66" borderId="0" xfId="1" applyNumberFormat="1" applyFont="1" applyFill="1" applyBorder="1" applyAlignment="1">
      <alignment horizontal="left"/>
    </xf>
    <xf numFmtId="0" fontId="173" fillId="0" borderId="0" xfId="0" applyFont="1"/>
    <xf numFmtId="43" fontId="173" fillId="0" borderId="0" xfId="1" applyFont="1"/>
    <xf numFmtId="0" fontId="174" fillId="0" borderId="0" xfId="0" applyFont="1"/>
    <xf numFmtId="0" fontId="173" fillId="0" borderId="0" xfId="0" applyFont="1" applyAlignment="1">
      <alignment horizontal="left"/>
    </xf>
    <xf numFmtId="43" fontId="173" fillId="0" borderId="0" xfId="0" applyNumberFormat="1" applyFont="1"/>
    <xf numFmtId="171" fontId="173" fillId="0" borderId="0" xfId="0" applyNumberFormat="1" applyFont="1"/>
    <xf numFmtId="0" fontId="0" fillId="0" borderId="0" xfId="0" applyFill="1" applyAlignment="1">
      <alignment horizontal="left"/>
    </xf>
    <xf numFmtId="0" fontId="0" fillId="0" borderId="0" xfId="0" applyNumberFormat="1" applyFill="1"/>
    <xf numFmtId="43" fontId="0" fillId="0" borderId="0" xfId="0" applyNumberFormat="1" applyFill="1"/>
    <xf numFmtId="174" fontId="173" fillId="0" borderId="0" xfId="0" applyNumberFormat="1" applyFont="1"/>
    <xf numFmtId="0" fontId="175" fillId="0" borderId="0" xfId="0" applyFont="1" applyAlignment="1">
      <alignment vertical="top"/>
    </xf>
    <xf numFmtId="49" fontId="176" fillId="0" borderId="26" xfId="0" applyNumberFormat="1" applyFont="1" applyBorder="1" applyAlignment="1">
      <alignment horizontal="center" vertical="top" wrapText="1"/>
    </xf>
    <xf numFmtId="169" fontId="177" fillId="0" borderId="3" xfId="0" applyNumberFormat="1" applyFont="1" applyBorder="1" applyAlignment="1">
      <alignment horizontal="right" vertical="top"/>
    </xf>
    <xf numFmtId="49" fontId="179" fillId="0" borderId="26" xfId="0" applyNumberFormat="1" applyFont="1" applyBorder="1" applyAlignment="1">
      <alignment horizontal="center" vertical="top" wrapText="1"/>
    </xf>
    <xf numFmtId="185" fontId="176" fillId="0" borderId="3" xfId="0" applyNumberFormat="1" applyFont="1" applyBorder="1" applyAlignment="1">
      <alignment horizontal="right" vertical="top"/>
    </xf>
    <xf numFmtId="49" fontId="177" fillId="0" borderId="3" xfId="0" applyNumberFormat="1" applyFont="1" applyBorder="1" applyAlignment="1">
      <alignment vertical="top"/>
    </xf>
    <xf numFmtId="49" fontId="176" fillId="0" borderId="3" xfId="0" applyNumberFormat="1" applyFont="1" applyBorder="1" applyAlignment="1">
      <alignment vertical="top"/>
    </xf>
    <xf numFmtId="49" fontId="176" fillId="0" borderId="3" xfId="0" applyNumberFormat="1" applyFont="1" applyBorder="1" applyAlignment="1">
      <alignment horizontal="right" vertical="top"/>
    </xf>
    <xf numFmtId="186" fontId="177" fillId="0" borderId="3" xfId="0" applyNumberFormat="1" applyFont="1" applyBorder="1" applyAlignment="1">
      <alignment horizontal="right" vertical="top"/>
    </xf>
    <xf numFmtId="185" fontId="176" fillId="0" borderId="4" xfId="0" applyNumberFormat="1" applyFont="1" applyBorder="1" applyAlignment="1">
      <alignment horizontal="right" vertical="top"/>
    </xf>
    <xf numFmtId="49" fontId="177" fillId="0" borderId="4" xfId="0" applyNumberFormat="1" applyFont="1" applyBorder="1" applyAlignment="1">
      <alignment vertical="top"/>
    </xf>
    <xf numFmtId="49" fontId="176" fillId="0" borderId="4" xfId="0" applyNumberFormat="1" applyFont="1" applyBorder="1" applyAlignment="1">
      <alignment vertical="top"/>
    </xf>
    <xf numFmtId="49" fontId="176" fillId="0" borderId="4" xfId="0" applyNumberFormat="1" applyFont="1" applyBorder="1" applyAlignment="1">
      <alignment horizontal="right" vertical="top"/>
    </xf>
    <xf numFmtId="186" fontId="177" fillId="0" borderId="4" xfId="0" applyNumberFormat="1" applyFont="1" applyBorder="1" applyAlignment="1">
      <alignment horizontal="right" vertical="top"/>
    </xf>
    <xf numFmtId="169" fontId="177" fillId="0" borderId="4" xfId="0" applyNumberFormat="1" applyFont="1" applyBorder="1" applyAlignment="1">
      <alignment horizontal="right" vertical="top"/>
    </xf>
    <xf numFmtId="43" fontId="165" fillId="0" borderId="80" xfId="1" applyFont="1" applyFill="1" applyBorder="1"/>
    <xf numFmtId="43" fontId="165" fillId="0" borderId="13" xfId="1" applyFont="1" applyFill="1" applyBorder="1"/>
    <xf numFmtId="171" fontId="166" fillId="0" borderId="18" xfId="1" applyNumberFormat="1" applyFont="1" applyFill="1" applyBorder="1" applyAlignment="1">
      <alignment horizontal="center"/>
    </xf>
    <xf numFmtId="168" fontId="166" fillId="0" borderId="14" xfId="1" applyNumberFormat="1" applyFont="1" applyFill="1" applyBorder="1" applyAlignment="1">
      <alignment horizontal="center"/>
    </xf>
    <xf numFmtId="43" fontId="166" fillId="0" borderId="14" xfId="1" applyFont="1" applyFill="1" applyBorder="1" applyAlignment="1">
      <alignment horizontal="center"/>
    </xf>
    <xf numFmtId="9" fontId="165" fillId="0" borderId="14" xfId="2" applyNumberFormat="1" applyFont="1" applyFill="1" applyBorder="1" applyAlignment="1">
      <alignment horizontal="right"/>
    </xf>
    <xf numFmtId="9" fontId="165" fillId="0" borderId="14" xfId="2" applyFont="1" applyFill="1" applyBorder="1" applyAlignment="1">
      <alignment horizontal="right"/>
    </xf>
    <xf numFmtId="0" fontId="165" fillId="0" borderId="80" xfId="0" applyFont="1" applyFill="1" applyBorder="1" applyAlignment="1">
      <alignment vertical="top" wrapText="1"/>
    </xf>
    <xf numFmtId="173" fontId="166" fillId="0" borderId="83" xfId="1" applyNumberFormat="1" applyFont="1" applyFill="1" applyBorder="1" applyAlignment="1">
      <alignment horizontal="center" vertical="center" wrapText="1"/>
    </xf>
    <xf numFmtId="1" fontId="165" fillId="0" borderId="83" xfId="5" applyNumberFormat="1" applyFont="1" applyFill="1" applyBorder="1" applyAlignment="1"/>
    <xf numFmtId="171" fontId="72" fillId="0" borderId="79" xfId="1" applyNumberFormat="1" applyFont="1" applyFill="1" applyBorder="1" applyAlignment="1">
      <alignment horizontal="right"/>
    </xf>
    <xf numFmtId="9" fontId="165" fillId="0" borderId="0" xfId="6" applyFont="1" applyFill="1" applyBorder="1" applyAlignment="1">
      <alignment horizontal="left" vertical="top" wrapText="1"/>
    </xf>
    <xf numFmtId="9" fontId="166" fillId="0" borderId="4" xfId="6" applyFont="1" applyFill="1" applyBorder="1" applyAlignment="1">
      <alignment horizontal="left" wrapText="1"/>
    </xf>
    <xf numFmtId="9" fontId="166" fillId="0" borderId="0" xfId="6" applyFont="1" applyFill="1" applyBorder="1" applyAlignment="1">
      <alignment horizontal="left" wrapText="1"/>
    </xf>
    <xf numFmtId="9" fontId="166" fillId="0" borderId="10" xfId="6" applyFont="1" applyFill="1" applyBorder="1" applyAlignment="1">
      <alignment horizontal="left" wrapText="1"/>
    </xf>
    <xf numFmtId="9" fontId="166" fillId="0" borderId="4" xfId="6" applyFont="1" applyFill="1" applyBorder="1" applyAlignment="1">
      <alignment horizontal="left" vertical="top"/>
    </xf>
    <xf numFmtId="9" fontId="170" fillId="0" borderId="4" xfId="6" applyFont="1" applyFill="1" applyBorder="1" applyAlignment="1">
      <alignment horizontal="left" vertical="top"/>
    </xf>
    <xf numFmtId="171" fontId="166" fillId="0" borderId="14" xfId="1" applyNumberFormat="1" applyFont="1" applyFill="1" applyBorder="1" applyAlignment="1"/>
    <xf numFmtId="172" fontId="180" fillId="66" borderId="0" xfId="5" applyNumberFormat="1" applyFont="1" applyFill="1" applyBorder="1" applyAlignment="1"/>
    <xf numFmtId="172" fontId="180" fillId="66" borderId="6" xfId="5" applyNumberFormat="1" applyFont="1" applyFill="1" applyBorder="1" applyAlignment="1"/>
    <xf numFmtId="172" fontId="180" fillId="66" borderId="80" xfId="5" applyNumberFormat="1" applyFont="1" applyFill="1" applyBorder="1" applyAlignment="1"/>
    <xf numFmtId="0" fontId="165" fillId="0" borderId="4" xfId="5" applyNumberFormat="1" applyFont="1" applyFill="1" applyBorder="1" applyAlignment="1">
      <alignment horizontal="left" wrapText="1"/>
    </xf>
    <xf numFmtId="0" fontId="165" fillId="0" borderId="0" xfId="5" applyNumberFormat="1" applyFont="1" applyFill="1" applyBorder="1" applyAlignment="1">
      <alignment horizontal="left" wrapText="1"/>
    </xf>
    <xf numFmtId="0" fontId="165" fillId="0" borderId="10" xfId="5" applyNumberFormat="1" applyFont="1" applyFill="1" applyBorder="1" applyAlignment="1">
      <alignment horizontal="left" wrapText="1"/>
    </xf>
    <xf numFmtId="172" fontId="166" fillId="0" borderId="81" xfId="5" applyNumberFormat="1" applyFont="1" applyFill="1" applyBorder="1" applyAlignment="1">
      <alignment horizontal="center"/>
    </xf>
    <xf numFmtId="172" fontId="166" fillId="0" borderId="2" xfId="5" applyNumberFormat="1" applyFont="1" applyFill="1" applyBorder="1" applyAlignment="1">
      <alignment horizontal="center"/>
    </xf>
    <xf numFmtId="172" fontId="166" fillId="0" borderId="83" xfId="5" applyNumberFormat="1" applyFont="1" applyFill="1" applyBorder="1" applyAlignment="1">
      <alignment horizontal="center"/>
    </xf>
    <xf numFmtId="9" fontId="166" fillId="0" borderId="4" xfId="6" applyFont="1" applyFill="1" applyBorder="1" applyAlignment="1">
      <alignment horizontal="center"/>
    </xf>
    <xf numFmtId="9" fontId="166" fillId="0" borderId="0" xfId="6" applyFont="1" applyFill="1" applyBorder="1" applyAlignment="1">
      <alignment horizontal="center"/>
    </xf>
    <xf numFmtId="9" fontId="166" fillId="0" borderId="10" xfId="6" applyFont="1" applyFill="1" applyBorder="1" applyAlignment="1">
      <alignment horizontal="center"/>
    </xf>
    <xf numFmtId="171" fontId="166" fillId="0" borderId="1" xfId="1" applyNumberFormat="1" applyFont="1" applyFill="1" applyBorder="1" applyAlignment="1">
      <alignment horizontal="right"/>
    </xf>
    <xf numFmtId="171" fontId="166" fillId="0" borderId="24" xfId="1" applyNumberFormat="1" applyFont="1" applyFill="1" applyBorder="1" applyAlignment="1">
      <alignment horizontal="right"/>
    </xf>
    <xf numFmtId="0" fontId="0" fillId="0" borderId="0" xfId="0" applyAlignment="1">
      <alignment horizontal="left" wrapText="1"/>
    </xf>
    <xf numFmtId="0" fontId="159" fillId="0" borderId="0" xfId="0" applyFont="1" applyAlignment="1">
      <alignment horizontal="center"/>
    </xf>
    <xf numFmtId="0" fontId="18" fillId="0" borderId="0" xfId="0" applyFont="1" applyAlignment="1">
      <alignment horizontal="center"/>
    </xf>
    <xf numFmtId="0" fontId="160" fillId="0" borderId="0" xfId="0" applyFont="1" applyAlignment="1">
      <alignment horizontal="center" vertical="center"/>
    </xf>
    <xf numFmtId="0" fontId="2" fillId="0" borderId="0" xfId="0" applyFont="1" applyBorder="1" applyAlignment="1">
      <alignment horizontal="left" vertical="top" wrapText="1"/>
    </xf>
    <xf numFmtId="0" fontId="2" fillId="0" borderId="10" xfId="0" applyFont="1" applyBorder="1" applyAlignment="1">
      <alignment horizontal="left" vertical="top" wrapText="1"/>
    </xf>
    <xf numFmtId="14" fontId="2" fillId="0" borderId="4" xfId="0" applyNumberFormat="1" applyFont="1" applyBorder="1" applyAlignment="1">
      <alignment horizontal="center" vertical="center"/>
    </xf>
    <xf numFmtId="14" fontId="2" fillId="0" borderId="81" xfId="0" applyNumberFormat="1" applyFont="1" applyBorder="1" applyAlignment="1">
      <alignment horizontal="center" vertical="center"/>
    </xf>
    <xf numFmtId="14" fontId="2" fillId="0" borderId="5" xfId="0" applyNumberFormat="1" applyFont="1" applyBorder="1" applyAlignment="1">
      <alignment horizontal="center" vertical="center"/>
    </xf>
    <xf numFmtId="14" fontId="2" fillId="0" borderId="79" xfId="0" applyNumberFormat="1" applyFont="1" applyBorder="1" applyAlignment="1">
      <alignment horizontal="center" vertical="center"/>
    </xf>
    <xf numFmtId="14" fontId="2" fillId="0" borderId="13" xfId="0" applyNumberFormat="1" applyFont="1" applyBorder="1" applyAlignment="1">
      <alignment horizontal="center" vertical="center"/>
    </xf>
    <xf numFmtId="0" fontId="2" fillId="0" borderId="79"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 xfId="0" applyFont="1" applyBorder="1" applyAlignment="1">
      <alignment horizontal="center" vertical="center"/>
    </xf>
    <xf numFmtId="0" fontId="2" fillId="0" borderId="83" xfId="0" applyFont="1" applyBorder="1" applyAlignment="1">
      <alignment horizontal="center" vertical="center"/>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24" xfId="0" applyFont="1" applyBorder="1" applyAlignment="1">
      <alignment horizontal="center" vertical="center"/>
    </xf>
    <xf numFmtId="0" fontId="2" fillId="0" borderId="81" xfId="0" applyFont="1" applyBorder="1" applyAlignment="1">
      <alignment horizontal="center" vertical="center"/>
    </xf>
    <xf numFmtId="0" fontId="2" fillId="0" borderId="5" xfId="0" applyFont="1" applyBorder="1" applyAlignment="1">
      <alignment horizontal="center" vertical="center"/>
    </xf>
    <xf numFmtId="0" fontId="0" fillId="0" borderId="4" xfId="0" applyBorder="1" applyAlignment="1">
      <alignment horizontal="left" vertical="top" wrapText="1"/>
    </xf>
    <xf numFmtId="0" fontId="0" fillId="0" borderId="10" xfId="0" applyBorder="1" applyAlignment="1">
      <alignment horizontal="left" vertical="top" wrapText="1"/>
    </xf>
    <xf numFmtId="167" fontId="162" fillId="0" borderId="0" xfId="6" applyNumberFormat="1" applyFont="1" applyFill="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2" fontId="164" fillId="0" borderId="81" xfId="1338" applyNumberFormat="1" applyFont="1" applyFill="1" applyBorder="1" applyAlignment="1">
      <alignment horizontal="center"/>
    </xf>
    <xf numFmtId="172" fontId="164" fillId="0" borderId="2" xfId="1338" applyNumberFormat="1" applyFont="1" applyFill="1" applyBorder="1" applyAlignment="1">
      <alignment horizontal="center"/>
    </xf>
    <xf numFmtId="172" fontId="15" fillId="0" borderId="4" xfId="1338" applyNumberFormat="1" applyFont="1" applyFill="1" applyBorder="1" applyAlignment="1">
      <alignment horizontal="center" wrapText="1"/>
    </xf>
    <xf numFmtId="172" fontId="15" fillId="0" borderId="0" xfId="1338" applyNumberFormat="1" applyFont="1" applyFill="1" applyBorder="1" applyAlignment="1">
      <alignment horizontal="center" wrapText="1"/>
    </xf>
    <xf numFmtId="0" fontId="157" fillId="0" borderId="14" xfId="0" applyFont="1" applyFill="1" applyBorder="1" applyAlignment="1">
      <alignment horizontal="left" wrapText="1"/>
    </xf>
    <xf numFmtId="0" fontId="157" fillId="0" borderId="13" xfId="0" applyFont="1" applyFill="1" applyBorder="1" applyAlignment="1">
      <alignment horizontal="left" wrapText="1"/>
    </xf>
    <xf numFmtId="1" fontId="166" fillId="0" borderId="0" xfId="5" applyNumberFormat="1" applyFont="1" applyFill="1" applyBorder="1" applyAlignment="1">
      <alignment horizontal="left" wrapText="1"/>
    </xf>
    <xf numFmtId="1" fontId="166" fillId="0" borderId="10" xfId="5" applyNumberFormat="1" applyFont="1" applyFill="1" applyBorder="1" applyAlignment="1">
      <alignment horizontal="left" wrapText="1"/>
    </xf>
    <xf numFmtId="1" fontId="166" fillId="0" borderId="0" xfId="5" applyNumberFormat="1" applyFont="1" applyFill="1" applyBorder="1" applyAlignment="1">
      <alignment horizontal="left"/>
    </xf>
    <xf numFmtId="1" fontId="166" fillId="0" borderId="10" xfId="5" applyNumberFormat="1" applyFont="1" applyFill="1" applyBorder="1" applyAlignment="1">
      <alignment horizontal="left"/>
    </xf>
    <xf numFmtId="172" fontId="15" fillId="0" borderId="81" xfId="125" applyNumberFormat="1" applyFont="1" applyFill="1" applyBorder="1" applyAlignment="1">
      <alignment horizontal="center"/>
    </xf>
    <xf numFmtId="172" fontId="15" fillId="0" borderId="2" xfId="125" applyNumberFormat="1" applyFont="1" applyFill="1" applyBorder="1" applyAlignment="1">
      <alignment horizontal="center"/>
    </xf>
    <xf numFmtId="172" fontId="15" fillId="0" borderId="83" xfId="125" applyNumberFormat="1" applyFont="1" applyFill="1" applyBorder="1" applyAlignment="1">
      <alignment horizontal="center"/>
    </xf>
    <xf numFmtId="172" fontId="15" fillId="0" borderId="4" xfId="125" applyNumberFormat="1" applyFont="1" applyFill="1" applyBorder="1" applyAlignment="1">
      <alignment horizontal="center"/>
    </xf>
    <xf numFmtId="172" fontId="15" fillId="0" borderId="0" xfId="125" applyNumberFormat="1" applyFont="1" applyFill="1" applyBorder="1" applyAlignment="1">
      <alignment horizontal="center"/>
    </xf>
    <xf numFmtId="172" fontId="15" fillId="0" borderId="10" xfId="125" applyNumberFormat="1" applyFont="1" applyFill="1" applyBorder="1" applyAlignment="1">
      <alignment horizontal="center"/>
    </xf>
    <xf numFmtId="0" fontId="18" fillId="0" borderId="4" xfId="0" applyFont="1" applyFill="1" applyBorder="1" applyAlignment="1">
      <alignment horizontal="left" wrapText="1"/>
    </xf>
    <xf numFmtId="0" fontId="18" fillId="0" borderId="0" xfId="0" applyFont="1" applyFill="1" applyBorder="1" applyAlignment="1">
      <alignment horizontal="left" wrapText="1"/>
    </xf>
    <xf numFmtId="0" fontId="18" fillId="0" borderId="10" xfId="0" applyFont="1" applyFill="1" applyBorder="1" applyAlignment="1">
      <alignment horizontal="left" wrapText="1"/>
    </xf>
    <xf numFmtId="0" fontId="165" fillId="0" borderId="4" xfId="5" applyNumberFormat="1" applyFont="1" applyFill="1" applyBorder="1" applyAlignment="1">
      <alignment horizontal="left" vertical="top" wrapText="1"/>
    </xf>
    <xf numFmtId="0" fontId="165" fillId="0" borderId="0" xfId="5" applyNumberFormat="1" applyFont="1" applyFill="1" applyBorder="1" applyAlignment="1">
      <alignment horizontal="left" vertical="top" wrapText="1"/>
    </xf>
    <xf numFmtId="0" fontId="165" fillId="0" borderId="10" xfId="5" applyNumberFormat="1" applyFont="1" applyFill="1" applyBorder="1" applyAlignment="1">
      <alignment horizontal="left" vertical="top" wrapText="1"/>
    </xf>
    <xf numFmtId="0" fontId="165" fillId="0" borderId="4" xfId="5" applyNumberFormat="1" applyFont="1" applyFill="1" applyBorder="1" applyAlignment="1">
      <alignment horizontal="left" wrapText="1"/>
    </xf>
    <xf numFmtId="0" fontId="165" fillId="0" borderId="0" xfId="5" applyNumberFormat="1" applyFont="1" applyFill="1" applyBorder="1" applyAlignment="1">
      <alignment horizontal="left" wrapText="1"/>
    </xf>
    <xf numFmtId="0" fontId="165" fillId="0" borderId="10" xfId="5" applyNumberFormat="1" applyFont="1" applyFill="1" applyBorder="1" applyAlignment="1">
      <alignment horizontal="left" wrapText="1"/>
    </xf>
    <xf numFmtId="172" fontId="166" fillId="0" borderId="85" xfId="0" applyNumberFormat="1" applyFont="1" applyFill="1" applyBorder="1" applyAlignment="1">
      <alignment horizontal="center"/>
    </xf>
    <xf numFmtId="172" fontId="166" fillId="0" borderId="82" xfId="0" applyNumberFormat="1" applyFont="1" applyFill="1" applyBorder="1" applyAlignment="1">
      <alignment horizontal="center"/>
    </xf>
    <xf numFmtId="0" fontId="165" fillId="0" borderId="4" xfId="0" applyFont="1" applyFill="1" applyBorder="1" applyAlignment="1">
      <alignment horizontal="left" vertical="top" wrapText="1"/>
    </xf>
    <xf numFmtId="0" fontId="165" fillId="0" borderId="0" xfId="0" applyFont="1" applyFill="1" applyBorder="1" applyAlignment="1">
      <alignment horizontal="left" vertical="top" wrapText="1"/>
    </xf>
    <xf numFmtId="0" fontId="165" fillId="0" borderId="10" xfId="0" applyFont="1" applyFill="1" applyBorder="1" applyAlignment="1">
      <alignment horizontal="left" vertical="top" wrapText="1"/>
    </xf>
    <xf numFmtId="172" fontId="166" fillId="0" borderId="81" xfId="5" applyNumberFormat="1" applyFont="1" applyFill="1" applyBorder="1" applyAlignment="1">
      <alignment horizontal="center"/>
    </xf>
    <xf numFmtId="172" fontId="166" fillId="0" borderId="2" xfId="5" applyNumberFormat="1" applyFont="1" applyFill="1" applyBorder="1" applyAlignment="1">
      <alignment horizontal="center"/>
    </xf>
    <xf numFmtId="172" fontId="166" fillId="0" borderId="83" xfId="5" applyNumberFormat="1" applyFont="1" applyFill="1" applyBorder="1" applyAlignment="1">
      <alignment horizontal="center"/>
    </xf>
    <xf numFmtId="172" fontId="166" fillId="0" borderId="5" xfId="5" applyNumberFormat="1" applyFont="1" applyFill="1" applyBorder="1" applyAlignment="1">
      <alignment horizontal="center"/>
    </xf>
    <xf numFmtId="172" fontId="166" fillId="0" borderId="1" xfId="5" applyNumberFormat="1" applyFont="1" applyFill="1" applyBorder="1" applyAlignment="1">
      <alignment horizontal="center"/>
    </xf>
    <xf numFmtId="172" fontId="166" fillId="0" borderId="24" xfId="5" applyNumberFormat="1" applyFont="1" applyFill="1" applyBorder="1" applyAlignment="1">
      <alignment horizontal="center"/>
    </xf>
    <xf numFmtId="0" fontId="166" fillId="0" borderId="4" xfId="5" applyNumberFormat="1" applyFont="1" applyFill="1" applyBorder="1" applyAlignment="1">
      <alignment horizontal="justify" vertical="top" wrapText="1"/>
    </xf>
    <xf numFmtId="0" fontId="166" fillId="0" borderId="0" xfId="5" applyNumberFormat="1" applyFont="1" applyFill="1" applyBorder="1" applyAlignment="1">
      <alignment horizontal="justify" vertical="top" wrapText="1"/>
    </xf>
    <xf numFmtId="0" fontId="166" fillId="0" borderId="4" xfId="5" applyNumberFormat="1" applyFont="1" applyFill="1" applyBorder="1" applyAlignment="1">
      <alignment horizontal="left" vertical="top" wrapText="1"/>
    </xf>
    <xf numFmtId="0" fontId="166" fillId="0" borderId="0" xfId="5" applyNumberFormat="1" applyFont="1" applyFill="1" applyBorder="1" applyAlignment="1">
      <alignment horizontal="left" vertical="top" wrapText="1"/>
    </xf>
    <xf numFmtId="2" fontId="166" fillId="0" borderId="4" xfId="6" applyNumberFormat="1" applyFont="1" applyFill="1" applyBorder="1" applyAlignment="1">
      <alignment horizontal="justify" vertical="top" wrapText="1"/>
    </xf>
    <xf numFmtId="2" fontId="166" fillId="0" borderId="0" xfId="6" applyNumberFormat="1" applyFont="1" applyFill="1" applyBorder="1" applyAlignment="1">
      <alignment horizontal="justify" vertical="top" wrapText="1"/>
    </xf>
    <xf numFmtId="9" fontId="166" fillId="0" borderId="4" xfId="6" applyFont="1" applyFill="1" applyBorder="1" applyAlignment="1">
      <alignment horizontal="left" vertical="top" wrapText="1"/>
    </xf>
    <xf numFmtId="9" fontId="166" fillId="0" borderId="0" xfId="6" applyFont="1" applyFill="1" applyBorder="1" applyAlignment="1">
      <alignment horizontal="left" vertical="top" wrapText="1"/>
    </xf>
    <xf numFmtId="172" fontId="166" fillId="0" borderId="85" xfId="5" applyNumberFormat="1" applyFont="1" applyFill="1" applyBorder="1" applyAlignment="1">
      <alignment horizontal="center"/>
    </xf>
    <xf numFmtId="172" fontId="166" fillId="0" borderId="82" xfId="5" applyNumberFormat="1" applyFont="1" applyFill="1" applyBorder="1" applyAlignment="1">
      <alignment horizontal="center"/>
    </xf>
    <xf numFmtId="172" fontId="166" fillId="0" borderId="86" xfId="5" applyNumberFormat="1" applyFont="1" applyFill="1" applyBorder="1" applyAlignment="1">
      <alignment horizontal="center"/>
    </xf>
    <xf numFmtId="0" fontId="166" fillId="0" borderId="80" xfId="5" applyNumberFormat="1" applyFont="1" applyFill="1" applyBorder="1" applyAlignment="1">
      <alignment horizontal="left" vertical="top" wrapText="1"/>
    </xf>
    <xf numFmtId="9" fontId="165" fillId="0" borderId="4" xfId="6" applyFont="1" applyFill="1" applyBorder="1" applyAlignment="1">
      <alignment horizontal="left" wrapText="1"/>
    </xf>
    <xf numFmtId="9" fontId="165" fillId="0" borderId="0" xfId="6" applyFont="1" applyFill="1" applyBorder="1" applyAlignment="1">
      <alignment horizontal="left" wrapText="1"/>
    </xf>
    <xf numFmtId="9" fontId="165" fillId="0" borderId="10" xfId="6" applyFont="1" applyFill="1" applyBorder="1" applyAlignment="1">
      <alignment horizontal="left" wrapText="1"/>
    </xf>
    <xf numFmtId="0" fontId="165" fillId="0" borderId="4" xfId="5" applyNumberFormat="1" applyFont="1" applyFill="1" applyBorder="1" applyAlignment="1">
      <alignment horizontal="justify" vertical="top" wrapText="1"/>
    </xf>
    <xf numFmtId="0" fontId="165" fillId="0" borderId="0" xfId="5" applyNumberFormat="1" applyFont="1" applyFill="1" applyBorder="1" applyAlignment="1">
      <alignment horizontal="justify" vertical="top" wrapText="1"/>
    </xf>
    <xf numFmtId="172" fontId="166" fillId="0" borderId="4" xfId="0" applyNumberFormat="1" applyFont="1" applyFill="1" applyBorder="1" applyAlignment="1">
      <alignment horizontal="center"/>
    </xf>
    <xf numFmtId="172" fontId="166" fillId="0" borderId="0" xfId="0" applyNumberFormat="1" applyFont="1" applyFill="1" applyBorder="1" applyAlignment="1">
      <alignment horizontal="center"/>
    </xf>
    <xf numFmtId="172" fontId="166" fillId="0" borderId="2" xfId="0" applyNumberFormat="1" applyFont="1" applyFill="1" applyBorder="1" applyAlignment="1">
      <alignment horizontal="center"/>
    </xf>
    <xf numFmtId="172" fontId="166" fillId="0" borderId="83" xfId="0" applyNumberFormat="1" applyFont="1" applyFill="1" applyBorder="1" applyAlignment="1">
      <alignment horizontal="center"/>
    </xf>
    <xf numFmtId="172" fontId="166" fillId="0" borderId="10" xfId="0" applyNumberFormat="1" applyFont="1" applyFill="1" applyBorder="1" applyAlignment="1">
      <alignment horizontal="center"/>
    </xf>
    <xf numFmtId="2" fontId="165" fillId="0" borderId="4" xfId="6" applyNumberFormat="1" applyFont="1" applyFill="1" applyBorder="1" applyAlignment="1">
      <alignment horizontal="justify" vertical="top" wrapText="1"/>
    </xf>
    <xf numFmtId="2" fontId="165" fillId="0" borderId="0" xfId="6" applyNumberFormat="1" applyFont="1" applyFill="1" applyBorder="1" applyAlignment="1">
      <alignment horizontal="justify" vertical="top" wrapText="1"/>
    </xf>
    <xf numFmtId="0" fontId="165" fillId="0" borderId="10" xfId="5" applyNumberFormat="1" applyFont="1" applyFill="1" applyBorder="1" applyAlignment="1">
      <alignment horizontal="justify" vertical="top" wrapText="1"/>
    </xf>
    <xf numFmtId="0" fontId="167" fillId="0" borderId="80" xfId="5" applyNumberFormat="1" applyFont="1" applyFill="1" applyBorder="1" applyAlignment="1">
      <alignment horizontal="left" vertical="top" wrapText="1"/>
    </xf>
    <xf numFmtId="0" fontId="165" fillId="0" borderId="85" xfId="5" applyNumberFormat="1" applyFont="1" applyFill="1" applyBorder="1" applyAlignment="1">
      <alignment horizontal="left" vertical="top"/>
    </xf>
    <xf numFmtId="0" fontId="165" fillId="0" borderId="82" xfId="5" applyNumberFormat="1" applyFont="1" applyFill="1" applyBorder="1" applyAlignment="1">
      <alignment horizontal="left" vertical="top"/>
    </xf>
    <xf numFmtId="0" fontId="165" fillId="0" borderId="86" xfId="5" applyNumberFormat="1" applyFont="1" applyFill="1" applyBorder="1" applyAlignment="1">
      <alignment horizontal="left" vertical="top"/>
    </xf>
    <xf numFmtId="167" fontId="166" fillId="0" borderId="81" xfId="6" applyNumberFormat="1" applyFont="1" applyFill="1" applyBorder="1" applyAlignment="1">
      <alignment horizontal="center"/>
    </xf>
    <xf numFmtId="167" fontId="166" fillId="0" borderId="2" xfId="6" applyNumberFormat="1" applyFont="1" applyFill="1" applyBorder="1" applyAlignment="1">
      <alignment horizontal="center"/>
    </xf>
    <xf numFmtId="167" fontId="166" fillId="0" borderId="83" xfId="6" applyNumberFormat="1" applyFont="1" applyFill="1" applyBorder="1" applyAlignment="1">
      <alignment horizontal="center"/>
    </xf>
    <xf numFmtId="167" fontId="166" fillId="0" borderId="4" xfId="6" applyNumberFormat="1" applyFont="1" applyFill="1" applyBorder="1" applyAlignment="1">
      <alignment horizontal="center"/>
    </xf>
    <xf numFmtId="167" fontId="166" fillId="0" borderId="0" xfId="6" applyNumberFormat="1" applyFont="1" applyFill="1" applyBorder="1" applyAlignment="1">
      <alignment horizontal="center"/>
    </xf>
    <xf numFmtId="167" fontId="166" fillId="0" borderId="10" xfId="6" applyNumberFormat="1" applyFont="1" applyFill="1" applyBorder="1" applyAlignment="1">
      <alignment horizontal="center"/>
    </xf>
    <xf numFmtId="0" fontId="166" fillId="0" borderId="4" xfId="0" applyFont="1" applyFill="1" applyBorder="1" applyAlignment="1">
      <alignment horizontal="left" vertical="top" wrapText="1"/>
    </xf>
    <xf numFmtId="0" fontId="166" fillId="0" borderId="0" xfId="0" applyFont="1" applyFill="1" applyBorder="1" applyAlignment="1">
      <alignment horizontal="left" vertical="top" wrapText="1"/>
    </xf>
    <xf numFmtId="1" fontId="166" fillId="0" borderId="79" xfId="5" applyNumberFormat="1" applyFont="1" applyFill="1" applyBorder="1" applyAlignment="1">
      <alignment horizontal="center" vertical="center" wrapText="1"/>
    </xf>
    <xf numFmtId="1" fontId="166" fillId="0" borderId="13" xfId="5" applyNumberFormat="1" applyFont="1" applyFill="1" applyBorder="1" applyAlignment="1">
      <alignment horizontal="center" vertical="center" wrapText="1"/>
    </xf>
    <xf numFmtId="0" fontId="166" fillId="0" borderId="4" xfId="0" applyFont="1" applyFill="1" applyBorder="1" applyAlignment="1">
      <alignment horizontal="left" vertical="center" wrapText="1"/>
    </xf>
    <xf numFmtId="0" fontId="166" fillId="0" borderId="0" xfId="0" applyFont="1" applyFill="1" applyBorder="1" applyAlignment="1">
      <alignment horizontal="left" vertical="center" wrapText="1"/>
    </xf>
    <xf numFmtId="0" fontId="166" fillId="0" borderId="10" xfId="0" applyFont="1" applyFill="1" applyBorder="1" applyAlignment="1">
      <alignment horizontal="left" vertical="top" wrapText="1"/>
    </xf>
    <xf numFmtId="167" fontId="166" fillId="0" borderId="81" xfId="0" applyNumberFormat="1" applyFont="1" applyFill="1" applyBorder="1" applyAlignment="1">
      <alignment horizontal="center" vertical="center" wrapText="1"/>
    </xf>
    <xf numFmtId="167" fontId="166" fillId="0" borderId="2" xfId="0" applyNumberFormat="1" applyFont="1" applyFill="1" applyBorder="1" applyAlignment="1">
      <alignment horizontal="center" vertical="center" wrapText="1"/>
    </xf>
    <xf numFmtId="167" fontId="166" fillId="0" borderId="83" xfId="0" applyNumberFormat="1" applyFont="1" applyFill="1" applyBorder="1" applyAlignment="1">
      <alignment horizontal="center" vertical="center" wrapText="1"/>
    </xf>
    <xf numFmtId="0" fontId="166" fillId="0" borderId="5" xfId="0" applyFont="1" applyFill="1" applyBorder="1" applyAlignment="1">
      <alignment horizontal="center" vertical="center" wrapText="1"/>
    </xf>
    <xf numFmtId="0" fontId="166" fillId="0" borderId="1" xfId="0" applyFont="1" applyFill="1" applyBorder="1" applyAlignment="1">
      <alignment horizontal="center" vertical="center" wrapText="1"/>
    </xf>
    <xf numFmtId="0" fontId="166" fillId="0" borderId="24" xfId="0" applyFont="1" applyFill="1" applyBorder="1" applyAlignment="1">
      <alignment horizontal="center" vertical="center" wrapText="1"/>
    </xf>
    <xf numFmtId="172" fontId="165" fillId="0" borderId="4" xfId="5" applyNumberFormat="1" applyFont="1" applyFill="1" applyBorder="1" applyAlignment="1">
      <alignment horizontal="left" wrapText="1"/>
    </xf>
    <xf numFmtId="172" fontId="165" fillId="0" borderId="0" xfId="5" applyNumberFormat="1" applyFont="1" applyFill="1" applyBorder="1" applyAlignment="1">
      <alignment horizontal="left" wrapText="1"/>
    </xf>
    <xf numFmtId="172" fontId="165" fillId="0" borderId="10" xfId="5" applyNumberFormat="1" applyFont="1" applyFill="1" applyBorder="1" applyAlignment="1">
      <alignment horizontal="left" wrapText="1"/>
    </xf>
    <xf numFmtId="9" fontId="165" fillId="0" borderId="4" xfId="5" applyNumberFormat="1" applyFont="1" applyFill="1" applyBorder="1" applyAlignment="1">
      <alignment horizontal="left" vertical="top" wrapText="1"/>
    </xf>
    <xf numFmtId="9" fontId="165" fillId="0" borderId="0" xfId="5" applyNumberFormat="1" applyFont="1" applyFill="1" applyBorder="1" applyAlignment="1">
      <alignment horizontal="left" vertical="top" wrapText="1"/>
    </xf>
    <xf numFmtId="9" fontId="165" fillId="0" borderId="10" xfId="5" applyNumberFormat="1" applyFont="1" applyFill="1" applyBorder="1" applyAlignment="1">
      <alignment horizontal="left" vertical="top" wrapText="1"/>
    </xf>
    <xf numFmtId="172" fontId="166" fillId="0" borderId="81" xfId="5" applyNumberFormat="1" applyFont="1" applyFill="1" applyBorder="1" applyAlignment="1">
      <alignment horizontal="center" vertical="center"/>
    </xf>
    <xf numFmtId="172" fontId="166" fillId="0" borderId="2" xfId="5" applyNumberFormat="1" applyFont="1" applyFill="1" applyBorder="1" applyAlignment="1">
      <alignment horizontal="center" vertical="center"/>
    </xf>
    <xf numFmtId="172" fontId="166" fillId="0" borderId="83" xfId="5" applyNumberFormat="1" applyFont="1" applyFill="1" applyBorder="1" applyAlignment="1">
      <alignment horizontal="center" vertical="center"/>
    </xf>
    <xf numFmtId="0" fontId="166" fillId="0" borderId="4" xfId="0" applyFont="1" applyFill="1" applyBorder="1" applyAlignment="1">
      <alignment horizontal="center" vertical="center" wrapText="1"/>
    </xf>
    <xf numFmtId="0" fontId="166" fillId="0" borderId="0" xfId="0" applyFont="1" applyFill="1" applyBorder="1" applyAlignment="1">
      <alignment horizontal="center" vertical="center" wrapText="1"/>
    </xf>
    <xf numFmtId="0" fontId="166" fillId="0" borderId="10" xfId="0" applyFont="1" applyFill="1" applyBorder="1" applyAlignment="1">
      <alignment horizontal="center" vertical="center" wrapText="1"/>
    </xf>
    <xf numFmtId="0" fontId="167" fillId="0" borderId="4" xfId="0" applyFont="1" applyFill="1" applyBorder="1" applyAlignment="1">
      <alignment horizontal="left" vertical="top" wrapText="1"/>
    </xf>
    <xf numFmtId="0" fontId="167" fillId="0" borderId="0" xfId="0" applyFont="1" applyFill="1" applyBorder="1" applyAlignment="1">
      <alignment horizontal="left" vertical="top" wrapText="1"/>
    </xf>
    <xf numFmtId="9" fontId="167" fillId="0" borderId="4" xfId="6" applyFont="1" applyFill="1" applyBorder="1" applyAlignment="1">
      <alignment horizontal="left" vertical="top" wrapText="1"/>
    </xf>
    <xf numFmtId="9" fontId="167" fillId="0" borderId="0" xfId="6" applyFont="1" applyFill="1" applyBorder="1" applyAlignment="1">
      <alignment horizontal="left" vertical="top" wrapText="1"/>
    </xf>
    <xf numFmtId="9" fontId="166" fillId="0" borderId="4" xfId="6" applyFont="1" applyFill="1" applyBorder="1" applyAlignment="1">
      <alignment horizontal="left" wrapText="1"/>
    </xf>
    <xf numFmtId="9" fontId="166" fillId="0" borderId="0" xfId="6" applyFont="1" applyFill="1" applyBorder="1" applyAlignment="1">
      <alignment horizontal="left" wrapText="1"/>
    </xf>
    <xf numFmtId="9" fontId="166" fillId="0" borderId="10" xfId="6" applyFont="1" applyFill="1" applyBorder="1" applyAlignment="1">
      <alignment horizontal="left" wrapText="1"/>
    </xf>
    <xf numFmtId="9" fontId="166" fillId="0" borderId="81" xfId="6" applyFont="1" applyFill="1" applyBorder="1" applyAlignment="1">
      <alignment horizontal="center"/>
    </xf>
    <xf numFmtId="9" fontId="166" fillId="0" borderId="2" xfId="6" applyFont="1" applyFill="1" applyBorder="1" applyAlignment="1">
      <alignment horizontal="center"/>
    </xf>
    <xf numFmtId="9" fontId="166" fillId="0" borderId="83" xfId="6" applyFont="1" applyFill="1" applyBorder="1" applyAlignment="1">
      <alignment horizontal="center"/>
    </xf>
    <xf numFmtId="9" fontId="166" fillId="0" borderId="5" xfId="6" applyFont="1" applyFill="1" applyBorder="1" applyAlignment="1">
      <alignment horizontal="center"/>
    </xf>
    <xf numFmtId="9" fontId="166" fillId="0" borderId="1" xfId="6" applyFont="1" applyFill="1" applyBorder="1" applyAlignment="1">
      <alignment horizontal="center"/>
    </xf>
    <xf numFmtId="9" fontId="166" fillId="0" borderId="24" xfId="6" applyFont="1" applyFill="1" applyBorder="1" applyAlignment="1">
      <alignment horizontal="center"/>
    </xf>
    <xf numFmtId="172" fontId="166" fillId="0" borderId="4" xfId="5" applyNumberFormat="1" applyFont="1" applyFill="1" applyBorder="1" applyAlignment="1">
      <alignment horizontal="center"/>
    </xf>
    <xf numFmtId="172" fontId="166" fillId="0" borderId="0" xfId="5" applyNumberFormat="1" applyFont="1" applyFill="1" applyBorder="1" applyAlignment="1">
      <alignment horizontal="center"/>
    </xf>
    <xf numFmtId="172" fontId="166" fillId="0" borderId="10" xfId="5" applyNumberFormat="1" applyFont="1" applyFill="1" applyBorder="1" applyAlignment="1">
      <alignment horizontal="center"/>
    </xf>
    <xf numFmtId="0" fontId="165" fillId="0" borderId="5" xfId="0" applyFont="1" applyFill="1" applyBorder="1" applyAlignment="1">
      <alignment horizontal="left" wrapText="1"/>
    </xf>
    <xf numFmtId="0" fontId="165" fillId="0" borderId="1" xfId="0" applyFont="1" applyFill="1" applyBorder="1" applyAlignment="1">
      <alignment horizontal="left" wrapText="1"/>
    </xf>
    <xf numFmtId="0" fontId="165" fillId="0" borderId="5" xfId="0" applyFont="1" applyFill="1" applyBorder="1" applyAlignment="1">
      <alignment horizontal="left" vertical="top" wrapText="1"/>
    </xf>
    <xf numFmtId="0" fontId="165" fillId="0" borderId="1" xfId="0" applyFont="1" applyFill="1" applyBorder="1" applyAlignment="1">
      <alignment horizontal="left" vertical="top" wrapText="1"/>
    </xf>
    <xf numFmtId="0" fontId="165" fillId="0" borderId="24" xfId="0" applyFont="1" applyFill="1" applyBorder="1" applyAlignment="1">
      <alignment horizontal="left" vertical="top" wrapText="1"/>
    </xf>
    <xf numFmtId="174" fontId="74" fillId="0" borderId="15" xfId="32" applyNumberFormat="1" applyFont="1" applyFill="1" applyBorder="1" applyAlignment="1">
      <alignment horizontal="center" vertical="center"/>
    </xf>
    <xf numFmtId="174" fontId="74" fillId="0" borderId="13" xfId="32" applyNumberFormat="1" applyFont="1" applyFill="1" applyBorder="1" applyAlignment="1">
      <alignment horizontal="center" vertical="center"/>
    </xf>
    <xf numFmtId="174" fontId="74" fillId="0" borderId="26" xfId="32" applyNumberFormat="1" applyFont="1" applyFill="1" applyBorder="1" applyAlignment="1">
      <alignment horizontal="center" vertical="center" wrapText="1"/>
    </xf>
    <xf numFmtId="174" fontId="74" fillId="0" borderId="7" xfId="32" applyNumberFormat="1" applyFont="1" applyFill="1" applyBorder="1" applyAlignment="1">
      <alignment horizontal="center" vertical="center" wrapText="1"/>
    </xf>
    <xf numFmtId="174" fontId="74" fillId="0" borderId="25" xfId="32" applyNumberFormat="1" applyFont="1" applyFill="1" applyBorder="1" applyAlignment="1">
      <alignment horizontal="center" vertical="center" wrapText="1"/>
    </xf>
    <xf numFmtId="0" fontId="74" fillId="0" borderId="26" xfId="30" applyFont="1" applyFill="1" applyBorder="1" applyAlignment="1">
      <alignment horizontal="center" vertical="center"/>
    </xf>
    <xf numFmtId="0" fontId="74" fillId="0" borderId="25" xfId="30" applyFont="1" applyFill="1" applyBorder="1" applyAlignment="1">
      <alignment horizontal="center" vertical="center"/>
    </xf>
    <xf numFmtId="174" fontId="75" fillId="0" borderId="81" xfId="32" applyNumberFormat="1" applyFont="1" applyFill="1" applyBorder="1" applyAlignment="1">
      <alignment horizontal="center" vertical="center"/>
    </xf>
    <xf numFmtId="174" fontId="75" fillId="0" borderId="5" xfId="32" applyNumberFormat="1" applyFont="1" applyFill="1" applyBorder="1" applyAlignment="1">
      <alignment horizontal="center" vertical="center"/>
    </xf>
    <xf numFmtId="174" fontId="75" fillId="65" borderId="79" xfId="32" applyNumberFormat="1" applyFont="1" applyFill="1" applyBorder="1" applyAlignment="1">
      <alignment horizontal="center" vertical="center"/>
    </xf>
    <xf numFmtId="174" fontId="75" fillId="65" borderId="13" xfId="32" applyNumberFormat="1" applyFont="1" applyFill="1" applyBorder="1" applyAlignment="1">
      <alignment horizontal="center" vertical="center"/>
    </xf>
    <xf numFmtId="174" fontId="75" fillId="64" borderId="80" xfId="32" applyNumberFormat="1" applyFont="1" applyFill="1" applyBorder="1" applyAlignment="1">
      <alignment horizontal="center" vertical="center" wrapText="1"/>
    </xf>
    <xf numFmtId="174" fontId="75" fillId="63" borderId="80" xfId="32" applyNumberFormat="1" applyFont="1" applyFill="1" applyBorder="1" applyAlignment="1">
      <alignment horizontal="center" vertical="center" wrapText="1"/>
    </xf>
    <xf numFmtId="174" fontId="75" fillId="0" borderId="79" xfId="32" applyNumberFormat="1" applyFont="1" applyFill="1" applyBorder="1" applyAlignment="1">
      <alignment horizontal="center" vertical="center"/>
    </xf>
    <xf numFmtId="174" fontId="75" fillId="0" borderId="13" xfId="32" applyNumberFormat="1" applyFont="1" applyFill="1" applyBorder="1" applyAlignment="1">
      <alignment horizontal="center" vertical="center"/>
    </xf>
    <xf numFmtId="172" fontId="67" fillId="0" borderId="0" xfId="27" applyNumberFormat="1" applyFont="1" applyFill="1" applyAlignment="1">
      <alignment horizontal="center"/>
    </xf>
    <xf numFmtId="49" fontId="178" fillId="0" borderId="2" xfId="0" applyNumberFormat="1" applyFont="1" applyBorder="1" applyAlignment="1">
      <alignment vertical="top"/>
    </xf>
    <xf numFmtId="49" fontId="176" fillId="0" borderId="1" xfId="0" applyNumberFormat="1" applyFont="1" applyBorder="1" applyAlignment="1">
      <alignment vertical="top"/>
    </xf>
    <xf numFmtId="168" fontId="20" fillId="0" borderId="0" xfId="10" applyFont="1" applyAlignment="1">
      <alignment horizontal="center" vertical="top"/>
    </xf>
    <xf numFmtId="168" fontId="21" fillId="0" borderId="0" xfId="10" applyFont="1" applyBorder="1" applyAlignment="1">
      <alignment horizontal="center" vertical="top"/>
    </xf>
    <xf numFmtId="168" fontId="22" fillId="0" borderId="0" xfId="10" applyFont="1" applyBorder="1" applyAlignment="1">
      <alignment horizontal="center" vertical="top"/>
    </xf>
    <xf numFmtId="168" fontId="22" fillId="0" borderId="21" xfId="10" applyFont="1" applyBorder="1" applyAlignment="1">
      <alignment horizontal="center" vertical="top"/>
    </xf>
    <xf numFmtId="168" fontId="23" fillId="0" borderId="30" xfId="10" applyFont="1" applyBorder="1" applyAlignment="1">
      <alignment horizontal="center" wrapText="1"/>
    </xf>
    <xf numFmtId="168" fontId="23" fillId="0" borderId="31" xfId="10" applyFont="1" applyBorder="1" applyAlignment="1">
      <alignment horizontal="center" wrapText="1"/>
    </xf>
    <xf numFmtId="168" fontId="23" fillId="0" borderId="58" xfId="10" applyFont="1" applyBorder="1" applyAlignment="1">
      <alignment horizontal="center"/>
    </xf>
    <xf numFmtId="168" fontId="23" fillId="0" borderId="59" xfId="10" applyFont="1" applyBorder="1" applyAlignment="1">
      <alignment horizontal="center"/>
    </xf>
    <xf numFmtId="168" fontId="23" fillId="0" borderId="55" xfId="10" applyFont="1" applyBorder="1" applyAlignment="1">
      <alignment horizontal="center"/>
    </xf>
    <xf numFmtId="168" fontId="23" fillId="0" borderId="56" xfId="10" applyFont="1" applyBorder="1" applyAlignment="1">
      <alignment horizontal="center"/>
    </xf>
    <xf numFmtId="168" fontId="23" fillId="0" borderId="57" xfId="10" applyFont="1" applyBorder="1" applyAlignment="1">
      <alignment horizontal="center"/>
    </xf>
    <xf numFmtId="168" fontId="23" fillId="0" borderId="55" xfId="10" applyFont="1" applyBorder="1" applyAlignment="1">
      <alignment horizontal="left"/>
    </xf>
    <xf numFmtId="168" fontId="23" fillId="0" borderId="56" xfId="10" applyFont="1" applyBorder="1" applyAlignment="1">
      <alignment horizontal="left"/>
    </xf>
    <xf numFmtId="168" fontId="23" fillId="0" borderId="57" xfId="10" applyFont="1" applyBorder="1" applyAlignment="1">
      <alignment horizontal="left"/>
    </xf>
    <xf numFmtId="172" fontId="48" fillId="0" borderId="79" xfId="13" applyNumberFormat="1" applyFont="1" applyFill="1" applyBorder="1" applyAlignment="1">
      <alignment horizontal="center" vertical="top" wrapText="1"/>
    </xf>
    <xf numFmtId="172" fontId="48" fillId="0" borderId="85" xfId="13" applyNumberFormat="1" applyFont="1" applyFill="1" applyBorder="1" applyAlignment="1">
      <alignment horizontal="center" vertical="top" wrapText="1"/>
    </xf>
    <xf numFmtId="172" fontId="48" fillId="0" borderId="82" xfId="13" applyNumberFormat="1" applyFont="1" applyFill="1" applyBorder="1" applyAlignment="1">
      <alignment horizontal="center" vertical="top" wrapText="1"/>
    </xf>
    <xf numFmtId="174" fontId="48" fillId="0" borderId="14" xfId="14" applyNumberFormat="1" applyFont="1" applyFill="1" applyBorder="1" applyAlignment="1">
      <alignment horizontal="center"/>
    </xf>
    <xf numFmtId="168" fontId="48" fillId="0" borderId="4" xfId="14" applyNumberFormat="1" applyFont="1" applyFill="1" applyBorder="1" applyAlignment="1">
      <alignment horizontal="right"/>
    </xf>
    <xf numFmtId="168" fontId="48" fillId="0" borderId="0" xfId="14" applyNumberFormat="1" applyFont="1" applyFill="1" applyBorder="1" applyAlignment="1">
      <alignment horizontal="right"/>
    </xf>
    <xf numFmtId="168" fontId="48" fillId="0" borderId="10" xfId="14" applyNumberFormat="1" applyFont="1" applyFill="1" applyBorder="1" applyAlignment="1">
      <alignment horizontal="right"/>
    </xf>
    <xf numFmtId="172" fontId="61" fillId="0" borderId="3" xfId="24" applyNumberFormat="1" applyFont="1" applyFill="1" applyBorder="1" applyAlignment="1">
      <alignment horizontal="center"/>
    </xf>
    <xf numFmtId="172" fontId="61" fillId="0" borderId="2" xfId="24" applyNumberFormat="1" applyFont="1" applyFill="1" applyBorder="1" applyAlignment="1">
      <alignment horizontal="center"/>
    </xf>
    <xf numFmtId="172" fontId="61" fillId="0" borderId="9" xfId="24" applyNumberFormat="1" applyFont="1" applyFill="1" applyBorder="1" applyAlignment="1">
      <alignment horizontal="center"/>
    </xf>
    <xf numFmtId="172" fontId="61" fillId="0" borderId="4" xfId="24" applyNumberFormat="1" applyFont="1" applyFill="1" applyBorder="1" applyAlignment="1">
      <alignment horizontal="center"/>
    </xf>
    <xf numFmtId="172" fontId="61" fillId="0" borderId="0" xfId="24" applyNumberFormat="1" applyFont="1" applyFill="1" applyBorder="1" applyAlignment="1">
      <alignment horizontal="center"/>
    </xf>
    <xf numFmtId="172" fontId="61" fillId="0" borderId="10" xfId="24" applyNumberFormat="1" applyFont="1" applyFill="1" applyBorder="1" applyAlignment="1">
      <alignment horizontal="center"/>
    </xf>
    <xf numFmtId="182" fontId="61" fillId="0" borderId="4" xfId="24" applyNumberFormat="1" applyFont="1" applyFill="1" applyBorder="1" applyAlignment="1">
      <alignment horizontal="center"/>
    </xf>
    <xf numFmtId="182" fontId="61" fillId="0" borderId="0" xfId="24" applyNumberFormat="1" applyFont="1" applyFill="1" applyBorder="1" applyAlignment="1">
      <alignment horizontal="center"/>
    </xf>
    <xf numFmtId="182" fontId="61" fillId="0" borderId="10" xfId="24" applyNumberFormat="1" applyFont="1" applyFill="1" applyBorder="1" applyAlignment="1">
      <alignment horizontal="center"/>
    </xf>
    <xf numFmtId="174" fontId="56" fillId="0" borderId="15" xfId="20" applyNumberFormat="1" applyFont="1" applyFill="1" applyBorder="1" applyAlignment="1">
      <alignment horizontal="center" wrapText="1"/>
    </xf>
    <xf numFmtId="172" fontId="54" fillId="0" borderId="14" xfId="21" applyNumberFormat="1" applyFont="1" applyFill="1" applyBorder="1" applyAlignment="1">
      <alignment horizontal="center" wrapText="1"/>
    </xf>
    <xf numFmtId="172" fontId="54" fillId="0" borderId="13" xfId="21" applyNumberFormat="1" applyFont="1" applyFill="1" applyBorder="1" applyAlignment="1">
      <alignment horizontal="center" wrapText="1"/>
    </xf>
    <xf numFmtId="0" fontId="56" fillId="0" borderId="3" xfId="19" applyFont="1" applyFill="1" applyBorder="1" applyAlignment="1">
      <alignment horizontal="center"/>
    </xf>
    <xf numFmtId="0" fontId="56" fillId="0" borderId="2" xfId="19" applyFont="1" applyFill="1" applyBorder="1" applyAlignment="1">
      <alignment horizontal="center"/>
    </xf>
    <xf numFmtId="0" fontId="56" fillId="0" borderId="9" xfId="19" applyFont="1" applyFill="1" applyBorder="1" applyAlignment="1">
      <alignment horizontal="center"/>
    </xf>
    <xf numFmtId="172" fontId="56" fillId="0" borderId="4" xfId="21" applyNumberFormat="1" applyFont="1" applyFill="1" applyBorder="1" applyAlignment="1">
      <alignment horizontal="center"/>
    </xf>
    <xf numFmtId="172" fontId="56" fillId="0" borderId="0" xfId="21" applyNumberFormat="1" applyFont="1" applyFill="1" applyBorder="1" applyAlignment="1">
      <alignment horizontal="center"/>
    </xf>
    <xf numFmtId="172" fontId="56" fillId="0" borderId="10" xfId="21" applyNumberFormat="1" applyFont="1" applyFill="1" applyBorder="1" applyAlignment="1">
      <alignment horizontal="center"/>
    </xf>
    <xf numFmtId="0" fontId="57" fillId="0" borderId="4" xfId="11" applyFont="1" applyFill="1" applyBorder="1" applyAlignment="1" applyProtection="1">
      <alignment horizontal="center"/>
    </xf>
    <xf numFmtId="0" fontId="57" fillId="0" borderId="0" xfId="11" applyFont="1" applyFill="1" applyBorder="1" applyAlignment="1" applyProtection="1">
      <alignment horizontal="center"/>
    </xf>
    <xf numFmtId="0" fontId="57" fillId="0" borderId="10" xfId="11" applyFont="1" applyFill="1" applyBorder="1" applyAlignment="1" applyProtection="1">
      <alignment horizontal="center"/>
    </xf>
    <xf numFmtId="174" fontId="56" fillId="0" borderId="4" xfId="20" applyNumberFormat="1" applyFont="1" applyFill="1" applyBorder="1" applyAlignment="1">
      <alignment horizontal="center"/>
    </xf>
    <xf numFmtId="174" fontId="56" fillId="0" borderId="0" xfId="20" applyNumberFormat="1" applyFont="1" applyFill="1" applyBorder="1" applyAlignment="1">
      <alignment horizontal="center"/>
    </xf>
    <xf numFmtId="174" fontId="56" fillId="0" borderId="10" xfId="20" applyNumberFormat="1" applyFont="1" applyFill="1" applyBorder="1" applyAlignment="1">
      <alignment horizontal="center"/>
    </xf>
    <xf numFmtId="174" fontId="56" fillId="0" borderId="26" xfId="20" applyNumberFormat="1" applyFont="1" applyFill="1" applyBorder="1" applyAlignment="1">
      <alignment horizontal="center"/>
    </xf>
    <xf numFmtId="174" fontId="56" fillId="0" borderId="25" xfId="20" applyNumberFormat="1" applyFont="1" applyFill="1" applyBorder="1" applyAlignment="1">
      <alignment horizontal="center"/>
    </xf>
    <xf numFmtId="174" fontId="56" fillId="0" borderId="26" xfId="22" applyNumberFormat="1" applyFont="1" applyFill="1" applyBorder="1" applyAlignment="1">
      <alignment horizontal="center"/>
    </xf>
    <xf numFmtId="174" fontId="56" fillId="0" borderId="25" xfId="22" applyNumberFormat="1" applyFont="1" applyFill="1" applyBorder="1" applyAlignment="1">
      <alignment horizontal="center"/>
    </xf>
    <xf numFmtId="0" fontId="2" fillId="0" borderId="0" xfId="0" applyFont="1" applyAlignment="1">
      <alignment horizontal="center"/>
    </xf>
    <xf numFmtId="0" fontId="2" fillId="0" borderId="1" xfId="0" applyFont="1" applyBorder="1" applyAlignment="1">
      <alignment horizontal="center"/>
    </xf>
    <xf numFmtId="0" fontId="0" fillId="0" borderId="0" xfId="0" applyFill="1" applyAlignment="1">
      <alignment horizontal="center"/>
    </xf>
    <xf numFmtId="49" fontId="6" fillId="0" borderId="4" xfId="0" applyNumberFormat="1" applyFont="1" applyBorder="1" applyAlignment="1">
      <alignment horizontal="center" vertical="top" wrapText="1"/>
    </xf>
    <xf numFmtId="49" fontId="6" fillId="0" borderId="0" xfId="0" applyNumberFormat="1" applyFont="1" applyBorder="1" applyAlignment="1">
      <alignment horizontal="center" vertical="top" wrapText="1"/>
    </xf>
    <xf numFmtId="49" fontId="5" fillId="0" borderId="81" xfId="0" applyNumberFormat="1" applyFont="1" applyBorder="1" applyAlignment="1">
      <alignment horizontal="center" vertical="top"/>
    </xf>
    <xf numFmtId="49" fontId="5" fillId="0" borderId="2" xfId="0" applyNumberFormat="1" applyFont="1" applyBorder="1" applyAlignment="1">
      <alignment horizontal="center" vertical="top"/>
    </xf>
    <xf numFmtId="49" fontId="5" fillId="0" borderId="81" xfId="0" applyNumberFormat="1" applyFont="1" applyBorder="1" applyAlignment="1">
      <alignment horizontal="center" vertical="top" wrapText="1"/>
    </xf>
    <xf numFmtId="49" fontId="5" fillId="0" borderId="2" xfId="0" applyNumberFormat="1" applyFont="1" applyBorder="1" applyAlignment="1">
      <alignment horizontal="center" vertical="top" wrapText="1"/>
    </xf>
    <xf numFmtId="49" fontId="3" fillId="0" borderId="0" xfId="0" applyNumberFormat="1" applyFont="1" applyAlignment="1">
      <alignment vertical="top"/>
    </xf>
    <xf numFmtId="49" fontId="4" fillId="0" borderId="0" xfId="0" applyNumberFormat="1" applyFont="1" applyAlignment="1">
      <alignment vertical="top"/>
    </xf>
    <xf numFmtId="49" fontId="4" fillId="0" borderId="1" xfId="0" applyNumberFormat="1" applyFont="1" applyBorder="1" applyAlignment="1">
      <alignment vertical="top"/>
    </xf>
    <xf numFmtId="49" fontId="3" fillId="0" borderId="2" xfId="0" applyNumberFormat="1" applyFont="1" applyBorder="1" applyAlignment="1">
      <alignment vertical="top"/>
    </xf>
    <xf numFmtId="49" fontId="5" fillId="0" borderId="3" xfId="0" applyNumberFormat="1" applyFont="1" applyBorder="1" applyAlignment="1">
      <alignment horizontal="center" vertical="top" wrapText="1"/>
    </xf>
    <xf numFmtId="49" fontId="5" fillId="0" borderId="3" xfId="0" applyNumberFormat="1" applyFont="1" applyBorder="1" applyAlignment="1">
      <alignment horizontal="center" vertical="top"/>
    </xf>
  </cellXfs>
  <cellStyles count="1339">
    <cellStyle name=" Names" xfId="208"/>
    <cellStyle name="_x000a_386grabber=M" xfId="691"/>
    <cellStyle name="?? [0.00]_laroux" xfId="692"/>
    <cellStyle name="?? [0]_VERA" xfId="693"/>
    <cellStyle name="???? [0.00]_laroux" xfId="694"/>
    <cellStyle name="?????_VERA" xfId="695"/>
    <cellStyle name="????_laroux" xfId="696"/>
    <cellStyle name="??_??" xfId="697"/>
    <cellStyle name="@" xfId="698"/>
    <cellStyle name="_Ann d" xfId="209"/>
    <cellStyle name="_Ann E Units" xfId="210"/>
    <cellStyle name="_Ann F" xfId="211"/>
    <cellStyle name="_Ann I" xfId="212"/>
    <cellStyle name="_Ann M" xfId="213"/>
    <cellStyle name="_Ann S" xfId="214"/>
    <cellStyle name="_Ann T" xfId="215"/>
    <cellStyle name="_Anne G Sale of FA" xfId="216"/>
    <cellStyle name="_CCM Indian players_v1" xfId="699"/>
    <cellStyle name="_E" xfId="217"/>
    <cellStyle name="_febmon" xfId="700"/>
    <cellStyle name="_febmon_1" xfId="701"/>
    <cellStyle name="_febmon_2" xfId="702"/>
    <cellStyle name="_febmon_3" xfId="703"/>
    <cellStyle name="_febmon_4" xfId="704"/>
    <cellStyle name="_febmon_5" xfId="705"/>
    <cellStyle name="_febmon_6" xfId="706"/>
    <cellStyle name="_Final gummidipundi Y" xfId="218"/>
    <cellStyle name="_Final gummidipundi Y_Tax audit Annaexures" xfId="219"/>
    <cellStyle name="_Final gummidipundi Y_TDS Summary from Units FY 2007-08 for Annexure W" xfId="220"/>
    <cellStyle name="_Final htc-R Y" xfId="221"/>
    <cellStyle name="_Final igfl (1) Y" xfId="222"/>
    <cellStyle name="_Final Raj. Gas Y" xfId="223"/>
    <cellStyle name="_gummidipundi Y" xfId="224"/>
    <cellStyle name="_gummidipundi Y_Tax audit Annaexures" xfId="225"/>
    <cellStyle name="_gummidipundi Y_TDS Summary from Units FY 2007-08 for Annexure W" xfId="226"/>
    <cellStyle name="_H" xfId="227"/>
    <cellStyle name="_JULYMON" xfId="707"/>
    <cellStyle name="_JULYMON_1" xfId="708"/>
    <cellStyle name="_JULYMON_2" xfId="709"/>
    <cellStyle name="_JULYMON_3" xfId="710"/>
    <cellStyle name="_JULYMON_4" xfId="711"/>
    <cellStyle name="_JULYMON_5" xfId="712"/>
    <cellStyle name="_JULYMON_6" xfId="713"/>
    <cellStyle name="_N (version 1)" xfId="228"/>
    <cellStyle name="_O (repaired)" xfId="229"/>
    <cellStyle name="_sayaji_proj1" xfId="714"/>
    <cellStyle name="_sayaji_project" xfId="715"/>
    <cellStyle name="⋢b愼¢⋲b慠¢⌂b憄¢⌒b憨¢⌢b懌¢⌲b_x0005_DocumentSummaryInformation" xfId="230"/>
    <cellStyle name="⇢b㐤¢⇲b䮜¢∂b䮼¢−b䯜¢∢b䯼¢∲b_x0005_SummaryInformation" xfId="231"/>
    <cellStyle name="⎲b拄¢⏂b拸¢⏒b笌¢⏢b筀¢⏲b筬¢␂b箔¢␒b篌¢␢b捠¢␲b_x0001_CompObj" xfId="232"/>
    <cellStyle name="⛲b哔£✂b哸£✒b啐£✢b啴£✲bUser Names" xfId="369"/>
    <cellStyle name="" xfId="716"/>
    <cellStyle name="0" xfId="717"/>
    <cellStyle name="0,0_x000d__x000a_NA_x000d__x000a_" xfId="718"/>
    <cellStyle name="¹éºÐÀ²_±âÅ¸" xfId="719"/>
    <cellStyle name="20% - Accent1 2" xfId="160"/>
    <cellStyle name="20% - Accent1 2 2" xfId="233"/>
    <cellStyle name="20% - Accent1 2 3" xfId="234"/>
    <cellStyle name="20% - Accent1 2 4" xfId="235"/>
    <cellStyle name="20% - Accent1 2 5" xfId="236"/>
    <cellStyle name="20% - Accent1 3" xfId="237"/>
    <cellStyle name="20% - Accent1 3 2" xfId="238"/>
    <cellStyle name="20% - Accent1 3 3" xfId="239"/>
    <cellStyle name="20% - Accent1 3 4" xfId="240"/>
    <cellStyle name="20% - Accent1 3 5" xfId="241"/>
    <cellStyle name="20% - Accent1 3 6" xfId="1121"/>
    <cellStyle name="20% - Accent1 4" xfId="1120"/>
    <cellStyle name="20% - Accent1 5" xfId="1230"/>
    <cellStyle name="20% - Accent1 6" xfId="34"/>
    <cellStyle name="20% - Accent2 2" xfId="161"/>
    <cellStyle name="20% - Accent2 2 2" xfId="242"/>
    <cellStyle name="20% - Accent2 2 3" xfId="243"/>
    <cellStyle name="20% - Accent2 2 4" xfId="244"/>
    <cellStyle name="20% - Accent2 2 5" xfId="245"/>
    <cellStyle name="20% - Accent2 3" xfId="246"/>
    <cellStyle name="20% - Accent2 3 2" xfId="247"/>
    <cellStyle name="20% - Accent2 3 3" xfId="248"/>
    <cellStyle name="20% - Accent2 3 4" xfId="249"/>
    <cellStyle name="20% - Accent2 3 5" xfId="250"/>
    <cellStyle name="20% - Accent2 3 6" xfId="1122"/>
    <cellStyle name="20% - Accent2 4" xfId="1180"/>
    <cellStyle name="20% - Accent2 5" xfId="1229"/>
    <cellStyle name="20% - Accent2 6" xfId="35"/>
    <cellStyle name="20% - Accent3 2" xfId="162"/>
    <cellStyle name="20% - Accent3 2 2" xfId="251"/>
    <cellStyle name="20% - Accent3 2 3" xfId="252"/>
    <cellStyle name="20% - Accent3 2 4" xfId="253"/>
    <cellStyle name="20% - Accent3 2 5" xfId="254"/>
    <cellStyle name="20% - Accent3 3" xfId="255"/>
    <cellStyle name="20% - Accent3 3 2" xfId="256"/>
    <cellStyle name="20% - Accent3 3 3" xfId="257"/>
    <cellStyle name="20% - Accent3 3 4" xfId="258"/>
    <cellStyle name="20% - Accent3 3 5" xfId="259"/>
    <cellStyle name="20% - Accent3 3 6" xfId="1123"/>
    <cellStyle name="20% - Accent3 4" xfId="1178"/>
    <cellStyle name="20% - Accent3 5" xfId="1182"/>
    <cellStyle name="20% - Accent3 6" xfId="36"/>
    <cellStyle name="20% - Accent4 2" xfId="163"/>
    <cellStyle name="20% - Accent4 2 2" xfId="260"/>
    <cellStyle name="20% - Accent4 2 3" xfId="261"/>
    <cellStyle name="20% - Accent4 2 4" xfId="262"/>
    <cellStyle name="20% - Accent4 2 5" xfId="263"/>
    <cellStyle name="20% - Accent4 3" xfId="264"/>
    <cellStyle name="20% - Accent4 3 2" xfId="265"/>
    <cellStyle name="20% - Accent4 3 3" xfId="266"/>
    <cellStyle name="20% - Accent4 3 4" xfId="267"/>
    <cellStyle name="20% - Accent4 3 5" xfId="268"/>
    <cellStyle name="20% - Accent4 3 6" xfId="1124"/>
    <cellStyle name="20% - Accent4 4" xfId="1177"/>
    <cellStyle name="20% - Accent4 5" xfId="1226"/>
    <cellStyle name="20% - Accent4 6" xfId="37"/>
    <cellStyle name="20% - Accent5 2" xfId="164"/>
    <cellStyle name="20% - Accent5 2 2" xfId="269"/>
    <cellStyle name="20% - Accent5 2 3" xfId="270"/>
    <cellStyle name="20% - Accent5 2 4" xfId="271"/>
    <cellStyle name="20% - Accent5 2 5" xfId="272"/>
    <cellStyle name="20% - Accent5 3" xfId="273"/>
    <cellStyle name="20% - Accent5 3 2" xfId="274"/>
    <cellStyle name="20% - Accent5 3 3" xfId="275"/>
    <cellStyle name="20% - Accent5 3 4" xfId="276"/>
    <cellStyle name="20% - Accent5 3 5" xfId="277"/>
    <cellStyle name="20% - Accent5 3 6" xfId="1125"/>
    <cellStyle name="20% - Accent5 4" xfId="1174"/>
    <cellStyle name="20% - Accent5 5" xfId="1224"/>
    <cellStyle name="20% - Accent5 6" xfId="38"/>
    <cellStyle name="20% - Accent6 2" xfId="165"/>
    <cellStyle name="20% - Accent6 2 2" xfId="278"/>
    <cellStyle name="20% - Accent6 2 3" xfId="279"/>
    <cellStyle name="20% - Accent6 2 4" xfId="280"/>
    <cellStyle name="20% - Accent6 2 5" xfId="281"/>
    <cellStyle name="20% - Accent6 3" xfId="282"/>
    <cellStyle name="20% - Accent6 3 2" xfId="283"/>
    <cellStyle name="20% - Accent6 3 3" xfId="284"/>
    <cellStyle name="20% - Accent6 3 4" xfId="285"/>
    <cellStyle name="20% - Accent6 3 5" xfId="286"/>
    <cellStyle name="20% - Accent6 3 6" xfId="1126"/>
    <cellStyle name="20% - Accent6 4" xfId="1172"/>
    <cellStyle name="20% - Accent6 5" xfId="1223"/>
    <cellStyle name="20% - Accent6 6" xfId="39"/>
    <cellStyle name="40% - Accent1 2" xfId="166"/>
    <cellStyle name="40% - Accent1 2 2" xfId="287"/>
    <cellStyle name="40% - Accent1 2 3" xfId="288"/>
    <cellStyle name="40% - Accent1 2 4" xfId="289"/>
    <cellStyle name="40% - Accent1 2 5" xfId="290"/>
    <cellStyle name="40% - Accent1 3" xfId="291"/>
    <cellStyle name="40% - Accent1 3 2" xfId="292"/>
    <cellStyle name="40% - Accent1 3 3" xfId="293"/>
    <cellStyle name="40% - Accent1 3 4" xfId="294"/>
    <cellStyle name="40% - Accent1 3 5" xfId="295"/>
    <cellStyle name="40% - Accent1 3 6" xfId="1127"/>
    <cellStyle name="40% - Accent1 4" xfId="1170"/>
    <cellStyle name="40% - Accent1 5" xfId="1218"/>
    <cellStyle name="40% - Accent1 6" xfId="40"/>
    <cellStyle name="40% - Accent2 2" xfId="167"/>
    <cellStyle name="40% - Accent2 2 2" xfId="296"/>
    <cellStyle name="40% - Accent2 2 3" xfId="297"/>
    <cellStyle name="40% - Accent2 2 4" xfId="298"/>
    <cellStyle name="40% - Accent2 2 5" xfId="299"/>
    <cellStyle name="40% - Accent2 3" xfId="300"/>
    <cellStyle name="40% - Accent2 3 2" xfId="301"/>
    <cellStyle name="40% - Accent2 3 3" xfId="302"/>
    <cellStyle name="40% - Accent2 3 4" xfId="303"/>
    <cellStyle name="40% - Accent2 3 5" xfId="304"/>
    <cellStyle name="40% - Accent2 3 6" xfId="1128"/>
    <cellStyle name="40% - Accent2 4" xfId="1168"/>
    <cellStyle name="40% - Accent2 5" xfId="1216"/>
    <cellStyle name="40% - Accent2 6" xfId="41"/>
    <cellStyle name="40% - Accent3 2" xfId="168"/>
    <cellStyle name="40% - Accent3 2 2" xfId="305"/>
    <cellStyle name="40% - Accent3 2 3" xfId="306"/>
    <cellStyle name="40% - Accent3 2 4" xfId="307"/>
    <cellStyle name="40% - Accent3 2 5" xfId="308"/>
    <cellStyle name="40% - Accent3 3" xfId="309"/>
    <cellStyle name="40% - Accent3 3 2" xfId="310"/>
    <cellStyle name="40% - Accent3 3 3" xfId="311"/>
    <cellStyle name="40% - Accent3 3 4" xfId="312"/>
    <cellStyle name="40% - Accent3 3 5" xfId="313"/>
    <cellStyle name="40% - Accent3 3 6" xfId="1129"/>
    <cellStyle name="40% - Accent3 4" xfId="1167"/>
    <cellStyle name="40% - Accent3 5" xfId="1213"/>
    <cellStyle name="40% - Accent3 6" xfId="42"/>
    <cellStyle name="40% - Accent4 2" xfId="169"/>
    <cellStyle name="40% - Accent4 2 2" xfId="314"/>
    <cellStyle name="40% - Accent4 2 3" xfId="315"/>
    <cellStyle name="40% - Accent4 2 4" xfId="316"/>
    <cellStyle name="40% - Accent4 2 5" xfId="317"/>
    <cellStyle name="40% - Accent4 3" xfId="318"/>
    <cellStyle name="40% - Accent4 3 2" xfId="319"/>
    <cellStyle name="40% - Accent4 3 3" xfId="320"/>
    <cellStyle name="40% - Accent4 3 4" xfId="321"/>
    <cellStyle name="40% - Accent4 3 5" xfId="322"/>
    <cellStyle name="40% - Accent4 3 6" xfId="1130"/>
    <cellStyle name="40% - Accent4 4" xfId="1166"/>
    <cellStyle name="40% - Accent4 5" xfId="1211"/>
    <cellStyle name="40% - Accent4 6" xfId="43"/>
    <cellStyle name="40% - Accent5 2" xfId="170"/>
    <cellStyle name="40% - Accent5 2 2" xfId="323"/>
    <cellStyle name="40% - Accent5 2 3" xfId="324"/>
    <cellStyle name="40% - Accent5 2 4" xfId="325"/>
    <cellStyle name="40% - Accent5 2 5" xfId="326"/>
    <cellStyle name="40% - Accent5 3" xfId="327"/>
    <cellStyle name="40% - Accent5 3 2" xfId="328"/>
    <cellStyle name="40% - Accent5 3 3" xfId="329"/>
    <cellStyle name="40% - Accent5 3 4" xfId="330"/>
    <cellStyle name="40% - Accent5 3 5" xfId="331"/>
    <cellStyle name="40% - Accent5 3 6" xfId="1131"/>
    <cellStyle name="40% - Accent5 4" xfId="1165"/>
    <cellStyle name="40% - Accent5 5" xfId="1210"/>
    <cellStyle name="40% - Accent5 6" xfId="44"/>
    <cellStyle name="40% - Accent6 2" xfId="171"/>
    <cellStyle name="40% - Accent6 2 2" xfId="332"/>
    <cellStyle name="40% - Accent6 2 3" xfId="333"/>
    <cellStyle name="40% - Accent6 2 4" xfId="334"/>
    <cellStyle name="40% - Accent6 2 5" xfId="335"/>
    <cellStyle name="40% - Accent6 3" xfId="336"/>
    <cellStyle name="40% - Accent6 3 2" xfId="337"/>
    <cellStyle name="40% - Accent6 3 3" xfId="338"/>
    <cellStyle name="40% - Accent6 3 4" xfId="339"/>
    <cellStyle name="40% - Accent6 3 5" xfId="340"/>
    <cellStyle name="40% - Accent6 3 6" xfId="1132"/>
    <cellStyle name="40% - Accent6 4" xfId="1164"/>
    <cellStyle name="40% - Accent6 5" xfId="1209"/>
    <cellStyle name="40% - Accent6 6" xfId="45"/>
    <cellStyle name="60% - Accent1 2" xfId="172"/>
    <cellStyle name="60% - Accent1 2 2" xfId="341"/>
    <cellStyle name="60% - Accent1 3" xfId="342"/>
    <cellStyle name="60% - Accent1 3 2" xfId="1133"/>
    <cellStyle name="60% - Accent1 4" xfId="1163"/>
    <cellStyle name="60% - Accent1 5" xfId="1208"/>
    <cellStyle name="60% - Accent1 6" xfId="46"/>
    <cellStyle name="60% - Accent2 2" xfId="173"/>
    <cellStyle name="60% - Accent2 2 2" xfId="343"/>
    <cellStyle name="60% - Accent2 3" xfId="344"/>
    <cellStyle name="60% - Accent2 3 2" xfId="1134"/>
    <cellStyle name="60% - Accent2 4" xfId="1162"/>
    <cellStyle name="60% - Accent2 5" xfId="1207"/>
    <cellStyle name="60% - Accent2 6" xfId="47"/>
    <cellStyle name="60% - Accent3 2" xfId="174"/>
    <cellStyle name="60% - Accent3 2 2" xfId="345"/>
    <cellStyle name="60% - Accent3 3" xfId="346"/>
    <cellStyle name="60% - Accent3 3 2" xfId="1135"/>
    <cellStyle name="60% - Accent3 4" xfId="1161"/>
    <cellStyle name="60% - Accent3 5" xfId="1206"/>
    <cellStyle name="60% - Accent3 6" xfId="48"/>
    <cellStyle name="60% - Accent4 2" xfId="175"/>
    <cellStyle name="60% - Accent4 2 2" xfId="347"/>
    <cellStyle name="60% - Accent4 3" xfId="348"/>
    <cellStyle name="60% - Accent4 3 2" xfId="1136"/>
    <cellStyle name="60% - Accent4 4" xfId="1158"/>
    <cellStyle name="60% - Accent4 5" xfId="1205"/>
    <cellStyle name="60% - Accent4 6" xfId="49"/>
    <cellStyle name="60% - Accent5 2" xfId="176"/>
    <cellStyle name="60% - Accent5 2 2" xfId="349"/>
    <cellStyle name="60% - Accent5 3" xfId="350"/>
    <cellStyle name="60% - Accent5 3 2" xfId="1137"/>
    <cellStyle name="60% - Accent5 4" xfId="1156"/>
    <cellStyle name="60% - Accent5 5" xfId="1204"/>
    <cellStyle name="60% - Accent5 6" xfId="50"/>
    <cellStyle name="60% - Accent6 2" xfId="177"/>
    <cellStyle name="60% - Accent6 2 2" xfId="351"/>
    <cellStyle name="60% - Accent6 3" xfId="352"/>
    <cellStyle name="60% - Accent6 3 2" xfId="1138"/>
    <cellStyle name="60% - Accent6 4" xfId="1155"/>
    <cellStyle name="60% - Accent6 5" xfId="1201"/>
    <cellStyle name="60% - Accent6 6" xfId="51"/>
    <cellStyle name="75" xfId="720"/>
    <cellStyle name="ↂb䭔¢→b䭸¢↢b㎄¢↲b㏄¢⇂b㏤¢⇒b㐄¢⇢b㐤¢⇲b䮜¢∂b䮼¢−b䯜¢∢b䯼¢∲b_x0005_SummaryInformation" xfId="353"/>
    <cellStyle name="Accent1 2" xfId="178"/>
    <cellStyle name="Accent1 2 2" xfId="354"/>
    <cellStyle name="Accent1 3" xfId="355"/>
    <cellStyle name="Accent1 3 2" xfId="1139"/>
    <cellStyle name="Accent1 4" xfId="1154"/>
    <cellStyle name="Accent1 5" xfId="1199"/>
    <cellStyle name="Accent1 6" xfId="52"/>
    <cellStyle name="Accent2 2" xfId="179"/>
    <cellStyle name="Accent2 2 2" xfId="356"/>
    <cellStyle name="Accent2 3" xfId="357"/>
    <cellStyle name="Accent2 3 2" xfId="1140"/>
    <cellStyle name="Accent2 4" xfId="1153"/>
    <cellStyle name="Accent2 5" xfId="1198"/>
    <cellStyle name="Accent2 6" xfId="53"/>
    <cellStyle name="Accent3 2" xfId="180"/>
    <cellStyle name="Accent3 2 2" xfId="358"/>
    <cellStyle name="Accent3 3" xfId="359"/>
    <cellStyle name="Accent3 3 2" xfId="1141"/>
    <cellStyle name="Accent3 4" xfId="1152"/>
    <cellStyle name="Accent3 5" xfId="1197"/>
    <cellStyle name="Accent3 6" xfId="54"/>
    <cellStyle name="Accent4 2" xfId="181"/>
    <cellStyle name="Accent4 2 2" xfId="360"/>
    <cellStyle name="Accent4 3" xfId="361"/>
    <cellStyle name="Accent4 3 2" xfId="1142"/>
    <cellStyle name="Accent4 4" xfId="1149"/>
    <cellStyle name="Accent4 5" xfId="1196"/>
    <cellStyle name="Accent4 6" xfId="55"/>
    <cellStyle name="Accent5 2" xfId="182"/>
    <cellStyle name="Accent5 2 2" xfId="362"/>
    <cellStyle name="Accent5 3" xfId="363"/>
    <cellStyle name="Accent5 3 2" xfId="1143"/>
    <cellStyle name="Accent5 4" xfId="1145"/>
    <cellStyle name="Accent5 5" xfId="1195"/>
    <cellStyle name="Accent5 6" xfId="56"/>
    <cellStyle name="Accent6 2" xfId="183"/>
    <cellStyle name="Accent6 2 2" xfId="364"/>
    <cellStyle name="Accent6 3" xfId="365"/>
    <cellStyle name="Accent6 3 2" xfId="1144"/>
    <cellStyle name="Accent6 4" xfId="1188"/>
    <cellStyle name="Accent6 5" xfId="1192"/>
    <cellStyle name="Accent6 6" xfId="57"/>
    <cellStyle name="active" xfId="721"/>
    <cellStyle name="ÅëÈ­ [0]_±âÅ¸" xfId="722"/>
    <cellStyle name="ÅëÈ­_±âÅ¸" xfId="723"/>
    <cellStyle name="ÄÞ¸¶ [0]_±âÅ¸" xfId="724"/>
    <cellStyle name="ÄÞ¸¶_±âÅ¸" xfId="725"/>
    <cellStyle name="AutoFormat-Optionen" xfId="58"/>
    <cellStyle name="꬈b_xffff__xffff_" xfId="726"/>
    <cellStyle name="Bad 2" xfId="184"/>
    <cellStyle name="Bad 2 2" xfId="366"/>
    <cellStyle name="Bad 3" xfId="367"/>
    <cellStyle name="Bad 3 2" xfId="1146"/>
    <cellStyle name="Bad 4" xfId="1189"/>
    <cellStyle name="Bad 5" xfId="1238"/>
    <cellStyle name="Bad 6" xfId="59"/>
    <cellStyle name="Body" xfId="368"/>
    <cellStyle name="Brand Align Left Text" xfId="727"/>
    <cellStyle name="Brand Default" xfId="728"/>
    <cellStyle name="Brand Default 2" xfId="729"/>
    <cellStyle name="Brand Percent" xfId="730"/>
    <cellStyle name="Brand Source" xfId="731"/>
    <cellStyle name="Brand Subtitle with Underline" xfId="732"/>
    <cellStyle name="Brand Subtitle without Underline" xfId="733"/>
    <cellStyle name="Brand Title" xfId="734"/>
    <cellStyle name="꬜bѬÍ֠ÍѬÍդÍ֤Í" xfId="735"/>
    <cellStyle name="Ç¥ÁØ_¿¬°£´©°è¿¹»ó" xfId="736"/>
    <cellStyle name="Calc Currency (0)" xfId="370"/>
    <cellStyle name="Calc Currency (0) 2" xfId="737"/>
    <cellStyle name="Calc Currency (2)" xfId="371"/>
    <cellStyle name="Calc Currency (2) 2" xfId="738"/>
    <cellStyle name="Calc Percent (0)" xfId="372"/>
    <cellStyle name="Calc Percent (0) 2" xfId="739"/>
    <cellStyle name="Calc Percent (1)" xfId="373"/>
    <cellStyle name="Calc Percent (1) 2" xfId="740"/>
    <cellStyle name="Calc Percent (2)" xfId="374"/>
    <cellStyle name="Calc Percent (2) 2" xfId="741"/>
    <cellStyle name="Calc Units (0)" xfId="375"/>
    <cellStyle name="Calc Units (0) 2" xfId="742"/>
    <cellStyle name="Calc Units (1)" xfId="376"/>
    <cellStyle name="Calc Units (1) 2" xfId="743"/>
    <cellStyle name="Calc Units (2)" xfId="377"/>
    <cellStyle name="Calc Units (2) 2" xfId="744"/>
    <cellStyle name="Calculation 2" xfId="185"/>
    <cellStyle name="Calculation 2 2" xfId="378"/>
    <cellStyle name="Calculation 2 2 2" xfId="1326"/>
    <cellStyle name="Calculation 2 3" xfId="1324"/>
    <cellStyle name="Calculation 3" xfId="379"/>
    <cellStyle name="Calculation 3 2" xfId="1147"/>
    <cellStyle name="Calculation 3 2 2" xfId="1330"/>
    <cellStyle name="Calculation 3 3" xfId="1327"/>
    <cellStyle name="Calculation 4" xfId="1190"/>
    <cellStyle name="Calculation 4 2" xfId="1332"/>
    <cellStyle name="Calculation 5" xfId="1239"/>
    <cellStyle name="Calculation 5 2" xfId="1334"/>
    <cellStyle name="Calculation 6" xfId="60"/>
    <cellStyle name="Calculation 7" xfId="1321"/>
    <cellStyle name="category" xfId="380"/>
    <cellStyle name="ⓒb擤¢ⓢb攨¢⓲b敜¢│b斔¢┒b絴¢┢b綜¢┲bCtls" xfId="381"/>
    <cellStyle name="CCP worksheet" xfId="745"/>
    <cellStyle name="Check Cell 2" xfId="186"/>
    <cellStyle name="Check Cell 2 2" xfId="382"/>
    <cellStyle name="Check Cell 3" xfId="383"/>
    <cellStyle name="Check Cell 3 2" xfId="1148"/>
    <cellStyle name="Check Cell 4" xfId="1191"/>
    <cellStyle name="Check Cell 5" xfId="1240"/>
    <cellStyle name="Check Cell 6" xfId="61"/>
    <cellStyle name="col" xfId="746"/>
    <cellStyle name="Column Header" xfId="747"/>
    <cellStyle name="Com" xfId="748"/>
    <cellStyle name="Comma" xfId="1" builtinId="3"/>
    <cellStyle name="Comma  - Style1" xfId="62"/>
    <cellStyle name="Comma  - Style2" xfId="63"/>
    <cellStyle name="Comma  - Style3" xfId="64"/>
    <cellStyle name="Comma  - Style4" xfId="65"/>
    <cellStyle name="Comma  - Style5" xfId="66"/>
    <cellStyle name="Comma  - Style6" xfId="67"/>
    <cellStyle name="Comma  - Style7" xfId="68"/>
    <cellStyle name="Comma  - Style8" xfId="69"/>
    <cellStyle name="Comma [0] 2" xfId="750"/>
    <cellStyle name="Comma [00]" xfId="384"/>
    <cellStyle name="Comma [00] 2" xfId="751"/>
    <cellStyle name="Comma 0" xfId="752"/>
    <cellStyle name="Comma 10" xfId="385"/>
    <cellStyle name="Comma 10 10" xfId="15"/>
    <cellStyle name="Comma 10 2" xfId="754"/>
    <cellStyle name="Comma 10 3" xfId="1265"/>
    <cellStyle name="Comma 10 4" xfId="753"/>
    <cellStyle name="Comma 11" xfId="688"/>
    <cellStyle name="Comma 11 2" xfId="755"/>
    <cellStyle name="Comma 12" xfId="386"/>
    <cellStyle name="Comma 12 2" xfId="756"/>
    <cellStyle name="Comma 13" xfId="28"/>
    <cellStyle name="Comma 13 2" xfId="757"/>
    <cellStyle name="Comma 13 3" xfId="387"/>
    <cellStyle name="Comma 14" xfId="388"/>
    <cellStyle name="Comma 14 2" xfId="758"/>
    <cellStyle name="Comma 15" xfId="207"/>
    <cellStyle name="Comma 15 2" xfId="759"/>
    <cellStyle name="Comma 16" xfId="20"/>
    <cellStyle name="Comma 16 2" xfId="760"/>
    <cellStyle name="Comma 16 3" xfId="389"/>
    <cellStyle name="Comma 17" xfId="390"/>
    <cellStyle name="Comma 17 2" xfId="761"/>
    <cellStyle name="Comma 18" xfId="391"/>
    <cellStyle name="Comma 18 2" xfId="762"/>
    <cellStyle name="Comma 19" xfId="392"/>
    <cellStyle name="Comma 19 2" xfId="763"/>
    <cellStyle name="Comma 2" xfId="10"/>
    <cellStyle name="Comma 2 10" xfId="764"/>
    <cellStyle name="Comma 2 11" xfId="765"/>
    <cellStyle name="Comma 2 12" xfId="766"/>
    <cellStyle name="Comma 2 13" xfId="767"/>
    <cellStyle name="Comma 2 14" xfId="768"/>
    <cellStyle name="Comma 2 15" xfId="769"/>
    <cellStyle name="Comma 2 16" xfId="770"/>
    <cellStyle name="Comma 2 17" xfId="70"/>
    <cellStyle name="Comma 2 2" xfId="71"/>
    <cellStyle name="Comma 2 2 2" xfId="772"/>
    <cellStyle name="Comma 2 2 3" xfId="1150"/>
    <cellStyle name="Comma 2 2 4" xfId="1193"/>
    <cellStyle name="Comma 2 2 5" xfId="1242"/>
    <cellStyle name="Comma 2 2 6" xfId="771"/>
    <cellStyle name="Comma 2 20" xfId="393"/>
    <cellStyle name="Comma 2 3" xfId="394"/>
    <cellStyle name="Comma 2 3 2" xfId="774"/>
    <cellStyle name="Comma 2 3 3" xfId="1151"/>
    <cellStyle name="Comma 2 3 4" xfId="1194"/>
    <cellStyle name="Comma 2 3 5" xfId="1243"/>
    <cellStyle name="Comma 2 3 6" xfId="773"/>
    <cellStyle name="Comma 2 4" xfId="775"/>
    <cellStyle name="Comma 2 5" xfId="776"/>
    <cellStyle name="Comma 2 6" xfId="777"/>
    <cellStyle name="Comma 2 7" xfId="778"/>
    <cellStyle name="Comma 2 8" xfId="779"/>
    <cellStyle name="Comma 2 8 6" xfId="18"/>
    <cellStyle name="Comma 2 9" xfId="780"/>
    <cellStyle name="Comma 20" xfId="14"/>
    <cellStyle name="Comma 20 2" xfId="781"/>
    <cellStyle name="Comma 20 3" xfId="395"/>
    <cellStyle name="Comma 21" xfId="396"/>
    <cellStyle name="Comma 21 2" xfId="782"/>
    <cellStyle name="Comma 22" xfId="397"/>
    <cellStyle name="Comma 22 2" xfId="783"/>
    <cellStyle name="Comma 23" xfId="398"/>
    <cellStyle name="Comma 23 2" xfId="784"/>
    <cellStyle name="Comma 24" xfId="399"/>
    <cellStyle name="Comma 24 2" xfId="785"/>
    <cellStyle name="Comma 25" xfId="400"/>
    <cellStyle name="Comma 25 2" xfId="786"/>
    <cellStyle name="Comma 26" xfId="25"/>
    <cellStyle name="Comma 26 2" xfId="787"/>
    <cellStyle name="Comma 26 3" xfId="401"/>
    <cellStyle name="Comma 27" xfId="402"/>
    <cellStyle name="Comma 27 2" xfId="788"/>
    <cellStyle name="Comma 28" xfId="403"/>
    <cellStyle name="Comma 28 2" xfId="789"/>
    <cellStyle name="Comma 29" xfId="404"/>
    <cellStyle name="Comma 29 2" xfId="1266"/>
    <cellStyle name="Comma 3" xfId="72"/>
    <cellStyle name="Comma 3 2" xfId="790"/>
    <cellStyle name="Comma 3 29" xfId="26"/>
    <cellStyle name="Comma 3 3" xfId="791"/>
    <cellStyle name="Comma 3 4" xfId="792"/>
    <cellStyle name="Comma 3 5" xfId="793"/>
    <cellStyle name="Comma 30" xfId="405"/>
    <cellStyle name="Comma 30 2" xfId="1267"/>
    <cellStyle name="Comma 31" xfId="406"/>
    <cellStyle name="Comma 31 2" xfId="1241"/>
    <cellStyle name="Comma 32" xfId="407"/>
    <cellStyle name="Comma 32 2" xfId="1283"/>
    <cellStyle name="Comma 33" xfId="408"/>
    <cellStyle name="Comma 33 2" xfId="1288"/>
    <cellStyle name="Comma 34" xfId="409"/>
    <cellStyle name="Comma 34 2" xfId="1293"/>
    <cellStyle name="Comma 35" xfId="410"/>
    <cellStyle name="Comma 35 2" xfId="1295"/>
    <cellStyle name="Comma 36" xfId="411"/>
    <cellStyle name="Comma 37" xfId="412"/>
    <cellStyle name="Comma 38" xfId="9"/>
    <cellStyle name="Comma 38 2" xfId="413"/>
    <cellStyle name="Comma 39" xfId="414"/>
    <cellStyle name="Comma 4" xfId="73"/>
    <cellStyle name="Comma 4 2" xfId="74"/>
    <cellStyle name="Comma 4 2 2" xfId="794"/>
    <cellStyle name="Comma 4 3" xfId="795"/>
    <cellStyle name="Comma 4 4" xfId="796"/>
    <cellStyle name="Comma 40" xfId="415"/>
    <cellStyle name="Comma 41" xfId="416"/>
    <cellStyle name="Comma 42" xfId="417"/>
    <cellStyle name="Comma 43" xfId="418"/>
    <cellStyle name="Comma 44" xfId="419"/>
    <cellStyle name="Comma 45" xfId="420"/>
    <cellStyle name="Comma 46" xfId="421"/>
    <cellStyle name="Comma 47" xfId="422"/>
    <cellStyle name="Comma 48" xfId="423"/>
    <cellStyle name="Comma 49" xfId="424"/>
    <cellStyle name="Comma 5" xfId="75"/>
    <cellStyle name="Comma 5 2" xfId="797"/>
    <cellStyle name="Comma 50" xfId="690"/>
    <cellStyle name="Comma 51" xfId="32"/>
    <cellStyle name="Comma 51 2" xfId="749"/>
    <cellStyle name="Comma 52" xfId="1297"/>
    <cellStyle name="Comma 53" xfId="1336"/>
    <cellStyle name="Comma 6" xfId="76"/>
    <cellStyle name="Comma 6 2" xfId="203"/>
    <cellStyle name="Comma 6 2 2" xfId="799"/>
    <cellStyle name="Comma 6 3" xfId="800"/>
    <cellStyle name="Comma 6 4" xfId="801"/>
    <cellStyle name="Comma 6 5" xfId="1157"/>
    <cellStyle name="Comma 6 6" xfId="1200"/>
    <cellStyle name="Comma 6 7" xfId="1244"/>
    <cellStyle name="Comma 6 8" xfId="798"/>
    <cellStyle name="Comma 7" xfId="201"/>
    <cellStyle name="Comma 7 10" xfId="803"/>
    <cellStyle name="Comma 7 11" xfId="804"/>
    <cellStyle name="Comma 7 12" xfId="805"/>
    <cellStyle name="Comma 7 13" xfId="802"/>
    <cellStyle name="Comma 7 2" xfId="806"/>
    <cellStyle name="Comma 7 3" xfId="807"/>
    <cellStyle name="Comma 7 4" xfId="808"/>
    <cellStyle name="Comma 7 5" xfId="809"/>
    <cellStyle name="Comma 7 6" xfId="810"/>
    <cellStyle name="Comma 7 7" xfId="811"/>
    <cellStyle name="Comma 7 8" xfId="812"/>
    <cellStyle name="Comma 7 9" xfId="813"/>
    <cellStyle name="Comma 8" xfId="205"/>
    <cellStyle name="Comma 8 2" xfId="815"/>
    <cellStyle name="Comma 8 3" xfId="816"/>
    <cellStyle name="Comma 8 4" xfId="1159"/>
    <cellStyle name="Comma 8 5" xfId="1202"/>
    <cellStyle name="Comma 8 6" xfId="1245"/>
    <cellStyle name="Comma 8 7" xfId="814"/>
    <cellStyle name="Comma 9" xfId="425"/>
    <cellStyle name="Comma 9 2" xfId="818"/>
    <cellStyle name="Comma 9 3" xfId="817"/>
    <cellStyle name="Comma_BALANCE SHEET 240605 SUSHIL" xfId="22"/>
    <cellStyle name="Comma0" xfId="77"/>
    <cellStyle name="Comma0 2" xfId="78"/>
    <cellStyle name="Comma0 3" xfId="819"/>
    <cellStyle name="Comma0 4" xfId="1160"/>
    <cellStyle name="Comma0 5" xfId="1203"/>
    <cellStyle name="Comma0 6" xfId="1246"/>
    <cellStyle name="Copied" xfId="426"/>
    <cellStyle name="Currency (0.00)" xfId="427"/>
    <cellStyle name="Currency [00]" xfId="428"/>
    <cellStyle name="Currency [00] 2" xfId="820"/>
    <cellStyle name="Currency 0" xfId="821"/>
    <cellStyle name="Currency 2" xfId="79"/>
    <cellStyle name="Currency 2 2" xfId="822"/>
    <cellStyle name="Currency 2 3" xfId="1268"/>
    <cellStyle name="Currency 3" xfId="823"/>
    <cellStyle name="Currency 4" xfId="429"/>
    <cellStyle name="Currency 4 2" xfId="1269"/>
    <cellStyle name="Currency 5" xfId="824"/>
    <cellStyle name="Currency 5 2" xfId="825"/>
    <cellStyle name="Currency 6" xfId="826"/>
    <cellStyle name="Currency 7" xfId="827"/>
    <cellStyle name="Currency0" xfId="80"/>
    <cellStyle name="Currency0 2" xfId="81"/>
    <cellStyle name="Currency0 3" xfId="828"/>
    <cellStyle name="Currency0 4" xfId="1169"/>
    <cellStyle name="Currency0 5" xfId="1212"/>
    <cellStyle name="Currency0 6" xfId="1247"/>
    <cellStyle name="Custom - Style1" xfId="829"/>
    <cellStyle name="Custom - Style8" xfId="430"/>
    <cellStyle name="Custom - Style8 4" xfId="431"/>
    <cellStyle name="Data   - Style2" xfId="432"/>
    <cellStyle name="Date" xfId="82"/>
    <cellStyle name="Date 2" xfId="83"/>
    <cellStyle name="Date 2 2" xfId="84"/>
    <cellStyle name="Date Short" xfId="433"/>
    <cellStyle name="DATE_Paper CCM V3" xfId="830"/>
    <cellStyle name="Define your own named style" xfId="831"/>
    <cellStyle name="DELTA" xfId="832"/>
    <cellStyle name="Dezimal [0]_Pr.Ev. CCC" xfId="85"/>
    <cellStyle name="Dezimal_ Magirus " xfId="833"/>
    <cellStyle name="Enlarge title text, yellow on blue" xfId="834"/>
    <cellStyle name="Enter Currency (0)" xfId="434"/>
    <cellStyle name="Enter Currency (0) 2" xfId="835"/>
    <cellStyle name="Enter Currency (2)" xfId="435"/>
    <cellStyle name="Enter Currency (2) 2" xfId="836"/>
    <cellStyle name="Enter Units (0)" xfId="436"/>
    <cellStyle name="Enter Units (0) 2" xfId="837"/>
    <cellStyle name="Enter Units (1)" xfId="437"/>
    <cellStyle name="Enter Units (1) 2" xfId="838"/>
    <cellStyle name="Enter Units (2)" xfId="438"/>
    <cellStyle name="Enter Units (2) 2" xfId="839"/>
    <cellStyle name="Entered" xfId="439"/>
    <cellStyle name="Euro" xfId="86"/>
    <cellStyle name="Euro 2" xfId="87"/>
    <cellStyle name="Euro 3" xfId="840"/>
    <cellStyle name="Euro 4" xfId="1171"/>
    <cellStyle name="Euro 5" xfId="1214"/>
    <cellStyle name="Euro 6" xfId="1248"/>
    <cellStyle name="Explanatory Text 2" xfId="187"/>
    <cellStyle name="Explanatory Text 2 2" xfId="440"/>
    <cellStyle name="Explanatory Text 3" xfId="441"/>
    <cellStyle name="Explanatory Text 4" xfId="1215"/>
    <cellStyle name="Explanatory Text 5" xfId="1249"/>
    <cellStyle name="Explanatory Text 6" xfId="88"/>
    <cellStyle name="Ẹ롑㿎_x0008__x0001_" xfId="841"/>
    <cellStyle name="Fixed" xfId="89"/>
    <cellStyle name="Fixed 2" xfId="90"/>
    <cellStyle name="Fixed 2 2" xfId="91"/>
    <cellStyle name="Good 2" xfId="188"/>
    <cellStyle name="Good 2 2" xfId="442"/>
    <cellStyle name="Good 3" xfId="443"/>
    <cellStyle name="Good 3 2" xfId="1173"/>
    <cellStyle name="Good 4" xfId="1217"/>
    <cellStyle name="Good 5" xfId="1250"/>
    <cellStyle name="Good 6" xfId="92"/>
    <cellStyle name="Grey" xfId="93"/>
    <cellStyle name="HEADER" xfId="444"/>
    <cellStyle name="Header1" xfId="445"/>
    <cellStyle name="Header2" xfId="446"/>
    <cellStyle name="Heading" xfId="842"/>
    <cellStyle name="Heading 1 2" xfId="95"/>
    <cellStyle name="Heading 1 2 2" xfId="96"/>
    <cellStyle name="Heading 1 3" xfId="447"/>
    <cellStyle name="Heading 1 3 2" xfId="1175"/>
    <cellStyle name="Heading 1 4" xfId="1219"/>
    <cellStyle name="Heading 1 5" xfId="1251"/>
    <cellStyle name="Heading 1 6" xfId="94"/>
    <cellStyle name="Heading 2 2" xfId="98"/>
    <cellStyle name="Heading 2 2 2" xfId="99"/>
    <cellStyle name="Heading 2 3" xfId="448"/>
    <cellStyle name="Heading 2 3 2" xfId="1176"/>
    <cellStyle name="Heading 2 4" xfId="1220"/>
    <cellStyle name="Heading 2 5" xfId="1252"/>
    <cellStyle name="Heading 2 6" xfId="97"/>
    <cellStyle name="Heading 3 2" xfId="189"/>
    <cellStyle name="Heading 3 2 2" xfId="449"/>
    <cellStyle name="Heading 3 3" xfId="450"/>
    <cellStyle name="Heading 3 4" xfId="1221"/>
    <cellStyle name="Heading 3 5" xfId="1253"/>
    <cellStyle name="Heading 3 6" xfId="100"/>
    <cellStyle name="Heading 4 2" xfId="190"/>
    <cellStyle name="Heading 4 2 2" xfId="451"/>
    <cellStyle name="Heading 4 3" xfId="452"/>
    <cellStyle name="Heading 4 4" xfId="1222"/>
    <cellStyle name="Heading 4 5" xfId="1254"/>
    <cellStyle name="Heading 4 6" xfId="101"/>
    <cellStyle name="Heading1" xfId="102"/>
    <cellStyle name="Heading1 2" xfId="103"/>
    <cellStyle name="Heading1 2 2" xfId="104"/>
    <cellStyle name="Heading2" xfId="105"/>
    <cellStyle name="Heading2 2" xfId="106"/>
    <cellStyle name="Heading2 2 2" xfId="107"/>
    <cellStyle name="Hyperlink" xfId="11" builtinId="8"/>
    <cellStyle name="Hyperlink 2" xfId="453"/>
    <cellStyle name="Hyperlink 2 2" xfId="843"/>
    <cellStyle name="Hyperlink 3" xfId="844"/>
    <cellStyle name="Hyperlink 4" xfId="1311"/>
    <cellStyle name="Ï" xfId="845"/>
    <cellStyle name="Indent" xfId="846"/>
    <cellStyle name="Input [yellow]" xfId="109"/>
    <cellStyle name="Input 2" xfId="191"/>
    <cellStyle name="Input 2 2" xfId="454"/>
    <cellStyle name="Input 2 2 2" xfId="1328"/>
    <cellStyle name="Input 2 3" xfId="1325"/>
    <cellStyle name="Input 3" xfId="455"/>
    <cellStyle name="Input 3 2" xfId="1179"/>
    <cellStyle name="Input 3 2 2" xfId="1331"/>
    <cellStyle name="Input 3 3" xfId="1329"/>
    <cellStyle name="Input 4" xfId="1225"/>
    <cellStyle name="Input 4 2" xfId="1333"/>
    <cellStyle name="Input 5" xfId="1255"/>
    <cellStyle name="Input 5 2" xfId="1335"/>
    <cellStyle name="Input 6" xfId="108"/>
    <cellStyle name="Input 7" xfId="1322"/>
    <cellStyle name="Labels - Style3" xfId="456"/>
    <cellStyle name="Link Currency (0)" xfId="457"/>
    <cellStyle name="Link Currency (0) 2" xfId="847"/>
    <cellStyle name="Link Currency (2)" xfId="458"/>
    <cellStyle name="Link Currency (2) 2" xfId="848"/>
    <cellStyle name="Link Units (0)" xfId="459"/>
    <cellStyle name="Link Units (0) 2" xfId="849"/>
    <cellStyle name="Link Units (1)" xfId="460"/>
    <cellStyle name="Link Units (1) 2" xfId="850"/>
    <cellStyle name="Link Units (2)" xfId="461"/>
    <cellStyle name="Link Units (2) 2" xfId="851"/>
    <cellStyle name="Linked Cell 2" xfId="192"/>
    <cellStyle name="Linked Cell 2 2" xfId="462"/>
    <cellStyle name="Linked Cell 3" xfId="463"/>
    <cellStyle name="Linked Cell 4" xfId="1227"/>
    <cellStyle name="Linked Cell 5" xfId="1256"/>
    <cellStyle name="Linked Cell 6" xfId="110"/>
    <cellStyle name="ls" xfId="464"/>
    <cellStyle name="Milliers [0]_A1_96VX" xfId="465"/>
    <cellStyle name="Milliers_A1_96VX" xfId="466"/>
    <cellStyle name="Model" xfId="467"/>
    <cellStyle name="Monétaire [0]_A1_96VX" xfId="468"/>
    <cellStyle name="Monétaire_A1_96VX" xfId="469"/>
    <cellStyle name="Neutral 2" xfId="193"/>
    <cellStyle name="Neutral 2 2" xfId="470"/>
    <cellStyle name="Neutral 3" xfId="471"/>
    <cellStyle name="Neutral 3 2" xfId="1181"/>
    <cellStyle name="Neutral 4" xfId="1228"/>
    <cellStyle name="Neutral 5" xfId="1257"/>
    <cellStyle name="Neutral 6" xfId="111"/>
    <cellStyle name="no dec" xfId="472"/>
    <cellStyle name="Normal" xfId="0" builtinId="0"/>
    <cellStyle name="Normal - Style1" xfId="112"/>
    <cellStyle name="Normal 10" xfId="29"/>
    <cellStyle name="Normal 10 2" xfId="473"/>
    <cellStyle name="Normal 10 2 2" xfId="854"/>
    <cellStyle name="Normal 10 2 3" xfId="853"/>
    <cellStyle name="Normal 10 3" xfId="474"/>
    <cellStyle name="Normal 10 3 2" xfId="856"/>
    <cellStyle name="Normal 10 3 3" xfId="855"/>
    <cellStyle name="Normal 10 4" xfId="475"/>
    <cellStyle name="Normal 10 4 2" xfId="857"/>
    <cellStyle name="Normal 10 5" xfId="476"/>
    <cellStyle name="Normal 10 5 2" xfId="1270"/>
    <cellStyle name="Normal 10 6" xfId="852"/>
    <cellStyle name="Normal 10 7" xfId="113"/>
    <cellStyle name="Normal 101" xfId="477"/>
    <cellStyle name="Normal 101 2" xfId="858"/>
    <cellStyle name="Normal 101 2 2" xfId="859"/>
    <cellStyle name="Normal 101 3" xfId="860"/>
    <cellStyle name="Normal 101 3 2" xfId="861"/>
    <cellStyle name="Normal 102" xfId="478"/>
    <cellStyle name="Normal 104" xfId="479"/>
    <cellStyle name="Normal 104 2" xfId="862"/>
    <cellStyle name="Normal 104 2 2" xfId="863"/>
    <cellStyle name="Normal 104 3" xfId="864"/>
    <cellStyle name="Normal 104 3 2" xfId="865"/>
    <cellStyle name="Normal 105" xfId="480"/>
    <cellStyle name="Normal 105 2" xfId="866"/>
    <cellStyle name="Normal 105 2 2" xfId="867"/>
    <cellStyle name="Normal 105 3" xfId="868"/>
    <cellStyle name="Normal 105 3 2" xfId="869"/>
    <cellStyle name="Normal 107" xfId="481"/>
    <cellStyle name="Normal 107 2" xfId="870"/>
    <cellStyle name="Normal 107 2 2" xfId="871"/>
    <cellStyle name="Normal 107 3" xfId="872"/>
    <cellStyle name="Normal 107 3 2" xfId="873"/>
    <cellStyle name="Normal 108" xfId="482"/>
    <cellStyle name="Normal 108 2" xfId="874"/>
    <cellStyle name="Normal 108 2 2" xfId="875"/>
    <cellStyle name="Normal 108 3" xfId="876"/>
    <cellStyle name="Normal 108 3 2" xfId="877"/>
    <cellStyle name="Normal 11" xfId="114"/>
    <cellStyle name="Normal 11 2" xfId="879"/>
    <cellStyle name="Normal 11 3" xfId="878"/>
    <cellStyle name="Normal 110" xfId="483"/>
    <cellStyle name="Normal 111" xfId="484"/>
    <cellStyle name="Normal 113" xfId="485"/>
    <cellStyle name="Normal 116" xfId="486"/>
    <cellStyle name="Normal 117" xfId="487"/>
    <cellStyle name="Normal 118 2" xfId="880"/>
    <cellStyle name="Normal 118 2 2" xfId="881"/>
    <cellStyle name="Normal 118 3" xfId="882"/>
    <cellStyle name="Normal 118 3 2" xfId="883"/>
    <cellStyle name="Normal 119" xfId="488"/>
    <cellStyle name="Normal 12" xfId="115"/>
    <cellStyle name="Normal 12 2" xfId="202"/>
    <cellStyle name="Normal 12 2 2" xfId="885"/>
    <cellStyle name="Normal 12 3" xfId="489"/>
    <cellStyle name="Normal 12 3 2" xfId="1284"/>
    <cellStyle name="Normal 12 4" xfId="490"/>
    <cellStyle name="Normal 12 4 2" xfId="1289"/>
    <cellStyle name="Normal 12 5" xfId="491"/>
    <cellStyle name="Normal 12 6" xfId="689"/>
    <cellStyle name="Normal 12 7" xfId="884"/>
    <cellStyle name="Normal 120" xfId="492"/>
    <cellStyle name="Normal 121 2" xfId="886"/>
    <cellStyle name="Normal 121 2 2" xfId="887"/>
    <cellStyle name="Normal 121 3" xfId="888"/>
    <cellStyle name="Normal 121 3 2" xfId="889"/>
    <cellStyle name="Normal 122 2" xfId="890"/>
    <cellStyle name="Normal 122 2 2" xfId="891"/>
    <cellStyle name="Normal 122 3" xfId="892"/>
    <cellStyle name="Normal 122 3 2" xfId="893"/>
    <cellStyle name="Normal 123" xfId="493"/>
    <cellStyle name="Normal 124" xfId="494"/>
    <cellStyle name="Normal 126" xfId="495"/>
    <cellStyle name="Normal 127" xfId="496"/>
    <cellStyle name="Normal 129" xfId="497"/>
    <cellStyle name="Normal 13" xfId="21"/>
    <cellStyle name="Normal 13 2" xfId="117"/>
    <cellStyle name="Normal 13 2 2" xfId="895"/>
    <cellStyle name="Normal 13 3" xfId="894"/>
    <cellStyle name="Normal 13 4" xfId="116"/>
    <cellStyle name="Normal 130" xfId="498"/>
    <cellStyle name="Normal 132" xfId="499"/>
    <cellStyle name="Normal 133" xfId="500"/>
    <cellStyle name="Normal 135" xfId="501"/>
    <cellStyle name="Normal 136" xfId="502"/>
    <cellStyle name="Normal 137" xfId="503"/>
    <cellStyle name="Normal 139" xfId="504"/>
    <cellStyle name="Normal 14" xfId="118"/>
    <cellStyle name="Normal 14 2" xfId="505"/>
    <cellStyle name="Normal 14 2 2" xfId="897"/>
    <cellStyle name="Normal 14 3" xfId="506"/>
    <cellStyle name="Normal 14 4" xfId="507"/>
    <cellStyle name="Normal 14 5" xfId="508"/>
    <cellStyle name="Normal 14 6" xfId="896"/>
    <cellStyle name="Normal 140" xfId="509"/>
    <cellStyle name="Normal 142" xfId="510"/>
    <cellStyle name="Normal 143" xfId="511"/>
    <cellStyle name="Normal 145" xfId="512"/>
    <cellStyle name="Normal 147" xfId="513"/>
    <cellStyle name="Normal 148" xfId="514"/>
    <cellStyle name="Normal 149" xfId="515"/>
    <cellStyle name="Normal 15" xfId="119"/>
    <cellStyle name="Normal 15 2" xfId="516"/>
    <cellStyle name="Normal 15 2 2" xfId="899"/>
    <cellStyle name="Normal 15 3" xfId="517"/>
    <cellStyle name="Normal 15 4" xfId="518"/>
    <cellStyle name="Normal 15 5" xfId="519"/>
    <cellStyle name="Normal 15 6" xfId="898"/>
    <cellStyle name="Normal 151" xfId="520"/>
    <cellStyle name="Normal 152" xfId="521"/>
    <cellStyle name="Normal 154" xfId="522"/>
    <cellStyle name="Normal 155" xfId="523"/>
    <cellStyle name="Normal 157" xfId="524"/>
    <cellStyle name="Normal 158" xfId="525"/>
    <cellStyle name="Normal 16" xfId="4"/>
    <cellStyle name="Normal 16 2" xfId="526"/>
    <cellStyle name="Normal 16 2 2" xfId="901"/>
    <cellStyle name="Normal 16 3" xfId="527"/>
    <cellStyle name="Normal 16 4" xfId="528"/>
    <cellStyle name="Normal 16 5" xfId="529"/>
    <cellStyle name="Normal 16 6" xfId="900"/>
    <cellStyle name="Normal 16 7" xfId="199"/>
    <cellStyle name="Normal 160" xfId="530"/>
    <cellStyle name="Normal 161" xfId="531"/>
    <cellStyle name="Normal 163" xfId="532"/>
    <cellStyle name="Normal 164" xfId="533"/>
    <cellStyle name="Normal 166" xfId="534"/>
    <cellStyle name="Normal 167" xfId="535"/>
    <cellStyle name="Normal 169" xfId="536"/>
    <cellStyle name="Normal 17" xfId="200"/>
    <cellStyle name="Normal 17 2" xfId="903"/>
    <cellStyle name="Normal 17 3" xfId="902"/>
    <cellStyle name="Normal 170" xfId="537"/>
    <cellStyle name="Normal 172" xfId="538"/>
    <cellStyle name="Normal 173" xfId="539"/>
    <cellStyle name="Normal 177" xfId="540"/>
    <cellStyle name="Normal 178" xfId="541"/>
    <cellStyle name="Normal 18" xfId="13"/>
    <cellStyle name="Normal 18 2" xfId="905"/>
    <cellStyle name="Normal 18 2 2" xfId="906"/>
    <cellStyle name="Normal 18 3" xfId="907"/>
    <cellStyle name="Normal 18 3 2" xfId="908"/>
    <cellStyle name="Normal 18 4" xfId="904"/>
    <cellStyle name="Normal 18 5" xfId="204"/>
    <cellStyle name="Normal 180" xfId="542"/>
    <cellStyle name="Normal 181" xfId="543"/>
    <cellStyle name="Normal 183" xfId="544"/>
    <cellStyle name="Normal 186" xfId="545"/>
    <cellStyle name="Normal 187" xfId="546"/>
    <cellStyle name="Normal 189" xfId="547"/>
    <cellStyle name="Normal 19" xfId="206"/>
    <cellStyle name="Normal 19 2" xfId="909"/>
    <cellStyle name="Normal 190" xfId="548"/>
    <cellStyle name="Normal 192" xfId="549"/>
    <cellStyle name="Normal 193" xfId="550"/>
    <cellStyle name="Normal 195" xfId="551"/>
    <cellStyle name="Normal 196" xfId="552"/>
    <cellStyle name="Normal 2" xfId="12"/>
    <cellStyle name="Normal 2 10" xfId="553"/>
    <cellStyle name="Normal 2 11" xfId="554"/>
    <cellStyle name="Normal 2 12" xfId="555"/>
    <cellStyle name="Normal 2 13" xfId="556"/>
    <cellStyle name="Normal 2 14" xfId="557"/>
    <cellStyle name="Normal 2 15" xfId="1271"/>
    <cellStyle name="Normal 2 16" xfId="1286"/>
    <cellStyle name="Normal 2 17" xfId="1291"/>
    <cellStyle name="Normal 2 18" xfId="120"/>
    <cellStyle name="Normal 2 2" xfId="121"/>
    <cellStyle name="Normal 2 2 2" xfId="558"/>
    <cellStyle name="Normal 2 2 2 2" xfId="559"/>
    <cellStyle name="Normal 2 2 2 2 2" xfId="911"/>
    <cellStyle name="Normal 2 2 2 3" xfId="560"/>
    <cellStyle name="Normal 2 2 2 4" xfId="561"/>
    <cellStyle name="Normal 2 2 2 5" xfId="562"/>
    <cellStyle name="Normal 2 2 3" xfId="563"/>
    <cellStyle name="Normal 2 2 3 2" xfId="913"/>
    <cellStyle name="Normal 2 2 3 3" xfId="912"/>
    <cellStyle name="Normal 2 2 4" xfId="564"/>
    <cellStyle name="Normal 2 2 5" xfId="565"/>
    <cellStyle name="Normal 2 2 6" xfId="910"/>
    <cellStyle name="Normal 2 3" xfId="194"/>
    <cellStyle name="Normal 2 3 2" xfId="914"/>
    <cellStyle name="Normal 2 4" xfId="566"/>
    <cellStyle name="Normal 2 4 2" xfId="915"/>
    <cellStyle name="Normal 2 5" xfId="567"/>
    <cellStyle name="Normal 2 6" xfId="568"/>
    <cellStyle name="Normal 2 7" xfId="916"/>
    <cellStyle name="Normal 2 8" xfId="569"/>
    <cellStyle name="Normal 2 9" xfId="570"/>
    <cellStyle name="Normal 2_CAPITAL EXP 2011-12 29-05-12" xfId="571"/>
    <cellStyle name="Normal 20" xfId="572"/>
    <cellStyle name="Normal 20 2" xfId="917"/>
    <cellStyle name="Normal 201" xfId="573"/>
    <cellStyle name="Normal 203" xfId="574"/>
    <cellStyle name="Normal 204" xfId="575"/>
    <cellStyle name="Normal 209" xfId="576"/>
    <cellStyle name="Normal 21" xfId="577"/>
    <cellStyle name="Normal 21 2" xfId="1272"/>
    <cellStyle name="Normal 210" xfId="578"/>
    <cellStyle name="Normal 212" xfId="579"/>
    <cellStyle name="Normal 22" xfId="24"/>
    <cellStyle name="Normal 22 2" xfId="1273"/>
    <cellStyle name="Normal 22 3" xfId="580"/>
    <cellStyle name="Normal 23" xfId="581"/>
    <cellStyle name="Normal 23 2" xfId="1274"/>
    <cellStyle name="Normal 24" xfId="582"/>
    <cellStyle name="Normal 24 2" xfId="1275"/>
    <cellStyle name="Normal 25" xfId="583"/>
    <cellStyle name="Normal 25 2" xfId="1276"/>
    <cellStyle name="Normal 26" xfId="584"/>
    <cellStyle name="Normal 26 2" xfId="1277"/>
    <cellStyle name="Normal 27" xfId="585"/>
    <cellStyle name="Normal 27 2" xfId="918"/>
    <cellStyle name="Normal 27 2 2" xfId="919"/>
    <cellStyle name="Normal 27 3" xfId="920"/>
    <cellStyle name="Normal 27 3 2" xfId="921"/>
    <cellStyle name="Normal 27 4" xfId="1278"/>
    <cellStyle name="Normal 28" xfId="586"/>
    <cellStyle name="Normal 28 2" xfId="922"/>
    <cellStyle name="Normal 28 2 2" xfId="923"/>
    <cellStyle name="Normal 28 3" xfId="924"/>
    <cellStyle name="Normal 28 3 2" xfId="925"/>
    <cellStyle name="Normal 28 4" xfId="1279"/>
    <cellStyle name="Normal 29" xfId="587"/>
    <cellStyle name="Normal 29 2" xfId="1282"/>
    <cellStyle name="Normal 3" xfId="30"/>
    <cellStyle name="Normal 3 2" xfId="123"/>
    <cellStyle name="Normal 3 2 2" xfId="928"/>
    <cellStyle name="Normal 3 2 3" xfId="929"/>
    <cellStyle name="Normal 3 2 4" xfId="930"/>
    <cellStyle name="Normal 3 2 5" xfId="927"/>
    <cellStyle name="Normal 3 3" xfId="124"/>
    <cellStyle name="Normal 3 3 2" xfId="932"/>
    <cellStyle name="Normal 3 3 3" xfId="931"/>
    <cellStyle name="Normal 3 4" xfId="588"/>
    <cellStyle name="Normal 3 4 2" xfId="934"/>
    <cellStyle name="Normal 3 4 3" xfId="933"/>
    <cellStyle name="Normal 3 5" xfId="935"/>
    <cellStyle name="Normal 3 6" xfId="926"/>
    <cellStyle name="Normal 3 7" xfId="122"/>
    <cellStyle name="Normal 3_Export Deatails From Jan to Dec 12" xfId="936"/>
    <cellStyle name="Normal 30" xfId="589"/>
    <cellStyle name="Normal 30 2" xfId="1296"/>
    <cellStyle name="Normal 31" xfId="590"/>
    <cellStyle name="Normal 31 2" xfId="937"/>
    <cellStyle name="Normal 31 2 2" xfId="938"/>
    <cellStyle name="Normal 31 3" xfId="939"/>
    <cellStyle name="Normal 31 3 2" xfId="940"/>
    <cellStyle name="Normal 32" xfId="591"/>
    <cellStyle name="Normal 33" xfId="592"/>
    <cellStyle name="Normal 33 2" xfId="941"/>
    <cellStyle name="Normal 33 2 2" xfId="942"/>
    <cellStyle name="Normal 33 3" xfId="943"/>
    <cellStyle name="Normal 33 3 2" xfId="944"/>
    <cellStyle name="Normal 34" xfId="684"/>
    <cellStyle name="Normal 35" xfId="593"/>
    <cellStyle name="Normal 36" xfId="686"/>
    <cellStyle name="Normal 36 2" xfId="945"/>
    <cellStyle name="Normal 36 2 2" xfId="946"/>
    <cellStyle name="Normal 36 3" xfId="947"/>
    <cellStyle name="Normal 36 3 2" xfId="948"/>
    <cellStyle name="Normal 37" xfId="594"/>
    <cellStyle name="Normal 38" xfId="687"/>
    <cellStyle name="Normal 39" xfId="595"/>
    <cellStyle name="Normal 4" xfId="125"/>
    <cellStyle name="Normal 4 2" xfId="126"/>
    <cellStyle name="Normal 4 2 2" xfId="951"/>
    <cellStyle name="Normal 4 2 3" xfId="950"/>
    <cellStyle name="Normal 4 3" xfId="685"/>
    <cellStyle name="Normal 4 3 2" xfId="953"/>
    <cellStyle name="Normal 4 3 3" xfId="952"/>
    <cellStyle name="Normal 4 4" xfId="954"/>
    <cellStyle name="Normal 4 5" xfId="1285"/>
    <cellStyle name="Normal 4 6" xfId="1290"/>
    <cellStyle name="Normal 4 7" xfId="949"/>
    <cellStyle name="Normal 4 8" xfId="1338"/>
    <cellStyle name="Normal 40" xfId="596"/>
    <cellStyle name="Normal 41" xfId="1298"/>
    <cellStyle name="Normal 42" xfId="597"/>
    <cellStyle name="Normal 42 2" xfId="955"/>
    <cellStyle name="Normal 42 2 2" xfId="956"/>
    <cellStyle name="Normal 42 3" xfId="957"/>
    <cellStyle name="Normal 42 3 2" xfId="958"/>
    <cellStyle name="Normal 43" xfId="598"/>
    <cellStyle name="Normal 44" xfId="1299"/>
    <cellStyle name="Normal 44 2" xfId="959"/>
    <cellStyle name="Normal 44 2 2" xfId="960"/>
    <cellStyle name="Normal 44 3" xfId="961"/>
    <cellStyle name="Normal 44 3 2" xfId="962"/>
    <cellStyle name="Normal 45" xfId="599"/>
    <cellStyle name="Normal 46" xfId="600"/>
    <cellStyle name="Normal 47" xfId="1300"/>
    <cellStyle name="Normal 48" xfId="601"/>
    <cellStyle name="Normal 48 2" xfId="963"/>
    <cellStyle name="Normal 48 2 2" xfId="964"/>
    <cellStyle name="Normal 48 3" xfId="965"/>
    <cellStyle name="Normal 48 3 2" xfId="966"/>
    <cellStyle name="Normal 49" xfId="602"/>
    <cellStyle name="Normal 49 2" xfId="967"/>
    <cellStyle name="Normal 49 2 2" xfId="968"/>
    <cellStyle name="Normal 49 3" xfId="969"/>
    <cellStyle name="Normal 49 3 2" xfId="970"/>
    <cellStyle name="Normal 5" xfId="127"/>
    <cellStyle name="Normal 5 2" xfId="603"/>
    <cellStyle name="Normal 5 2 2" xfId="973"/>
    <cellStyle name="Normal 5 2 3" xfId="972"/>
    <cellStyle name="Normal 5 3" xfId="604"/>
    <cellStyle name="Normal 5 3 2" xfId="975"/>
    <cellStyle name="Normal 5 3 3" xfId="974"/>
    <cellStyle name="Normal 5 4" xfId="605"/>
    <cellStyle name="Normal 5 4 2" xfId="976"/>
    <cellStyle name="Normal 5 5" xfId="606"/>
    <cellStyle name="Normal 5 6" xfId="971"/>
    <cellStyle name="Normal 50" xfId="607"/>
    <cellStyle name="Normal 51" xfId="608"/>
    <cellStyle name="Normal 51 2" xfId="977"/>
    <cellStyle name="Normal 51 2 2" xfId="978"/>
    <cellStyle name="Normal 51 3" xfId="979"/>
    <cellStyle name="Normal 51 3 2" xfId="980"/>
    <cellStyle name="Normal 52" xfId="609"/>
    <cellStyle name="Normal 53" xfId="610"/>
    <cellStyle name="Normal 54" xfId="1301"/>
    <cellStyle name="Normal 55" xfId="611"/>
    <cellStyle name="Normal 56" xfId="612"/>
    <cellStyle name="Normal 57" xfId="1302"/>
    <cellStyle name="Normal 58" xfId="613"/>
    <cellStyle name="Normal 59" xfId="614"/>
    <cellStyle name="Normal 6" xfId="5"/>
    <cellStyle name="Normal 6 12" xfId="1337"/>
    <cellStyle name="Normal 6 2" xfId="615"/>
    <cellStyle name="Normal 6 2 2" xfId="983"/>
    <cellStyle name="Normal 6 2 3" xfId="982"/>
    <cellStyle name="Normal 6 25" xfId="8"/>
    <cellStyle name="Normal 6 3" xfId="984"/>
    <cellStyle name="Normal 6 3 2" xfId="985"/>
    <cellStyle name="Normal 6 4" xfId="986"/>
    <cellStyle name="Normal 6 5" xfId="981"/>
    <cellStyle name="Normal 6 6" xfId="128"/>
    <cellStyle name="Normal 60" xfId="1303"/>
    <cellStyle name="Normal 61" xfId="616"/>
    <cellStyle name="Normal 62" xfId="617"/>
    <cellStyle name="Normal 63" xfId="1304"/>
    <cellStyle name="Normal 64" xfId="618"/>
    <cellStyle name="Normal 65" xfId="619"/>
    <cellStyle name="Normal 66" xfId="1305"/>
    <cellStyle name="Normal 67" xfId="1306"/>
    <cellStyle name="Normal 67 2" xfId="987"/>
    <cellStyle name="Normal 67 2 2" xfId="988"/>
    <cellStyle name="Normal 67 3" xfId="989"/>
    <cellStyle name="Normal 67 3 2" xfId="990"/>
    <cellStyle name="Normal 68" xfId="620"/>
    <cellStyle name="Normal 69" xfId="1307"/>
    <cellStyle name="Normal 7" xfId="129"/>
    <cellStyle name="Normal 7 2" xfId="621"/>
    <cellStyle name="Normal 7 2 2" xfId="993"/>
    <cellStyle name="Normal 7 2 3" xfId="992"/>
    <cellStyle name="Normal 7 3" xfId="994"/>
    <cellStyle name="Normal 7 3 2" xfId="995"/>
    <cellStyle name="Normal 7 4" xfId="996"/>
    <cellStyle name="Normal 7 5" xfId="991"/>
    <cellStyle name="Normal 70" xfId="1308"/>
    <cellStyle name="Normal 71" xfId="622"/>
    <cellStyle name="Normal 72" xfId="623"/>
    <cellStyle name="Normal 73" xfId="624"/>
    <cellStyle name="Normal 74" xfId="625"/>
    <cellStyle name="Normal 75" xfId="626"/>
    <cellStyle name="Normal 75 2" xfId="997"/>
    <cellStyle name="Normal 75 2 2" xfId="998"/>
    <cellStyle name="Normal 75 3" xfId="999"/>
    <cellStyle name="Normal 75 3 2" xfId="1000"/>
    <cellStyle name="Normal 76" xfId="627"/>
    <cellStyle name="Normal 77" xfId="628"/>
    <cellStyle name="Normal 77 2" xfId="1001"/>
    <cellStyle name="Normal 77 2 2" xfId="1002"/>
    <cellStyle name="Normal 77 3" xfId="1003"/>
    <cellStyle name="Normal 77 3 2" xfId="1004"/>
    <cellStyle name="Normal 78" xfId="629"/>
    <cellStyle name="Normal 79" xfId="1309"/>
    <cellStyle name="Normal 79 2" xfId="1005"/>
    <cellStyle name="Normal 79 2 2" xfId="1006"/>
    <cellStyle name="Normal 79 3" xfId="1007"/>
    <cellStyle name="Normal 79 3 2" xfId="1008"/>
    <cellStyle name="Normal 8" xfId="130"/>
    <cellStyle name="Normal 8 2" xfId="1010"/>
    <cellStyle name="Normal 8 2 2" xfId="1011"/>
    <cellStyle name="Normal 8 3" xfId="1012"/>
    <cellStyle name="Normal 8 3 2" xfId="1013"/>
    <cellStyle name="Normal 8 4" xfId="1014"/>
    <cellStyle name="Normal 8 5" xfId="1287"/>
    <cellStyle name="Normal 8 6" xfId="1292"/>
    <cellStyle name="Normal 8 7" xfId="1009"/>
    <cellStyle name="Normal 80" xfId="1310"/>
    <cellStyle name="Normal 81" xfId="1312"/>
    <cellStyle name="Normal 81 2" xfId="1015"/>
    <cellStyle name="Normal 81 2 2" xfId="1016"/>
    <cellStyle name="Normal 81 3" xfId="1017"/>
    <cellStyle name="Normal 81 3 2" xfId="1018"/>
    <cellStyle name="Normal 82" xfId="1313"/>
    <cellStyle name="Normal 83" xfId="630"/>
    <cellStyle name="Normal 83 2" xfId="1019"/>
    <cellStyle name="Normal 83 2 2" xfId="1020"/>
    <cellStyle name="Normal 83 3" xfId="1021"/>
    <cellStyle name="Normal 83 3 2" xfId="1022"/>
    <cellStyle name="Normal 84" xfId="631"/>
    <cellStyle name="Normal 85" xfId="1314"/>
    <cellStyle name="Normal 85 2" xfId="1023"/>
    <cellStyle name="Normal 85 2 2" xfId="1024"/>
    <cellStyle name="Normal 85 3" xfId="1025"/>
    <cellStyle name="Normal 85 3 2" xfId="1026"/>
    <cellStyle name="Normal 86" xfId="632"/>
    <cellStyle name="Normal 86 2" xfId="1027"/>
    <cellStyle name="Normal 86 2 2" xfId="1028"/>
    <cellStyle name="Normal 86 3" xfId="1029"/>
    <cellStyle name="Normal 86 3 2" xfId="1030"/>
    <cellStyle name="Normal 87" xfId="633"/>
    <cellStyle name="Normal 87 2" xfId="1031"/>
    <cellStyle name="Normal 87 2 2" xfId="1032"/>
    <cellStyle name="Normal 87 3" xfId="1033"/>
    <cellStyle name="Normal 87 3 2" xfId="1034"/>
    <cellStyle name="Normal 88" xfId="1315"/>
    <cellStyle name="Normal 89" xfId="634"/>
    <cellStyle name="Normal 9" xfId="131"/>
    <cellStyle name="Normal 9 2" xfId="635"/>
    <cellStyle name="Normal 9 2 2" xfId="1037"/>
    <cellStyle name="Normal 9 2 3" xfId="1036"/>
    <cellStyle name="Normal 9 3" xfId="636"/>
    <cellStyle name="Normal 9 3 2" xfId="1039"/>
    <cellStyle name="Normal 9 3 3" xfId="1038"/>
    <cellStyle name="Normal 9 4" xfId="637"/>
    <cellStyle name="Normal 9 4 2" xfId="1040"/>
    <cellStyle name="Normal 9 5" xfId="638"/>
    <cellStyle name="Normal 9 6" xfId="1035"/>
    <cellStyle name="Normal 90" xfId="639"/>
    <cellStyle name="Normal 90 2" xfId="1041"/>
    <cellStyle name="Normal 90 2 2" xfId="1042"/>
    <cellStyle name="Normal 90 3" xfId="1043"/>
    <cellStyle name="Normal 90 3 2" xfId="1044"/>
    <cellStyle name="Normal 91" xfId="1316"/>
    <cellStyle name="Normal 91 2" xfId="1045"/>
    <cellStyle name="Normal 91 2 2" xfId="1046"/>
    <cellStyle name="Normal 91 3" xfId="1047"/>
    <cellStyle name="Normal 91 3 2" xfId="1048"/>
    <cellStyle name="Normal 92" xfId="640"/>
    <cellStyle name="Normal 93" xfId="641"/>
    <cellStyle name="Normal 93 2" xfId="1049"/>
    <cellStyle name="Normal 93 2 2" xfId="1050"/>
    <cellStyle name="Normal 93 3" xfId="1051"/>
    <cellStyle name="Normal 93 3 2" xfId="1052"/>
    <cellStyle name="Normal 94" xfId="1317"/>
    <cellStyle name="Normal 95" xfId="1318"/>
    <cellStyle name="Normal 96" xfId="1319"/>
    <cellStyle name="Normal 96 2" xfId="1053"/>
    <cellStyle name="Normal 96 2 2" xfId="1054"/>
    <cellStyle name="Normal 96 3" xfId="1055"/>
    <cellStyle name="Normal 96 3 2" xfId="1056"/>
    <cellStyle name="Normal 97" xfId="1320"/>
    <cellStyle name="Normal 97 2" xfId="1057"/>
    <cellStyle name="Normal 97 2 2" xfId="1058"/>
    <cellStyle name="Normal 97 3" xfId="1059"/>
    <cellStyle name="Normal 97 3 2" xfId="1060"/>
    <cellStyle name="Normal 98" xfId="33"/>
    <cellStyle name="Normal 99" xfId="137"/>
    <cellStyle name="Normal 99 2" xfId="1061"/>
    <cellStyle name="Normal 99 2 2" xfId="1062"/>
    <cellStyle name="Normal 99 3" xfId="1063"/>
    <cellStyle name="Normal 99 3 2" xfId="1064"/>
    <cellStyle name="Normal_BAL30.9-1" xfId="23"/>
    <cellStyle name="Normal_BALANCE SHEET 240605 SUSHIL (FINAL)" xfId="27"/>
    <cellStyle name="Normal_BALANCESHEET 31.03.2003(FINAL)" xfId="19"/>
    <cellStyle name="Normal_Final Balance Sheet 25.10.04" xfId="17"/>
    <cellStyle name="Normal_Kaygaon revised 310307sushil-1507071" xfId="16"/>
    <cellStyle name="Normal_TB" xfId="3"/>
    <cellStyle name="Note 2" xfId="195"/>
    <cellStyle name="Note 2 2" xfId="642"/>
    <cellStyle name="Note 3" xfId="643"/>
    <cellStyle name="Note 3 2" xfId="1183"/>
    <cellStyle name="Note 4" xfId="1231"/>
    <cellStyle name="Note 5" xfId="1258"/>
    <cellStyle name="Note 6" xfId="132"/>
    <cellStyle name="Output 2" xfId="196"/>
    <cellStyle name="Output 2 2" xfId="644"/>
    <cellStyle name="Output 3" xfId="645"/>
    <cellStyle name="Output 3 2" xfId="1184"/>
    <cellStyle name="Output 4" xfId="1232"/>
    <cellStyle name="Output 5" xfId="1259"/>
    <cellStyle name="Output 6" xfId="133"/>
    <cellStyle name="Percent" xfId="2" builtinId="5"/>
    <cellStyle name="Percent [0]" xfId="646"/>
    <cellStyle name="Percent [0] 2" xfId="1065"/>
    <cellStyle name="Percent [00]" xfId="647"/>
    <cellStyle name="Percent [00] 2" xfId="1066"/>
    <cellStyle name="Percent [2]" xfId="134"/>
    <cellStyle name="Percent [2] 2" xfId="135"/>
    <cellStyle name="Percent [2] 3" xfId="1067"/>
    <cellStyle name="Percent [2] 4" xfId="1185"/>
    <cellStyle name="Percent [2] 5" xfId="1233"/>
    <cellStyle name="Percent [2] 6" xfId="1260"/>
    <cellStyle name="Percent 10" xfId="1280"/>
    <cellStyle name="Percent 11" xfId="1068"/>
    <cellStyle name="Percent 12" xfId="1069"/>
    <cellStyle name="Percent 13" xfId="1070"/>
    <cellStyle name="Percent 14" xfId="1071"/>
    <cellStyle name="Percent 15" xfId="1072"/>
    <cellStyle name="Percent 16" xfId="1294"/>
    <cellStyle name="Percent 17" xfId="31"/>
    <cellStyle name="Percent 2" xfId="136"/>
    <cellStyle name="Percent 2 10" xfId="1073"/>
    <cellStyle name="Percent 2 11" xfId="1074"/>
    <cellStyle name="Percent 2 12" xfId="1075"/>
    <cellStyle name="Percent 2 13" xfId="1076"/>
    <cellStyle name="Percent 2 2" xfId="6"/>
    <cellStyle name="Percent 2 3" xfId="1077"/>
    <cellStyle name="Percent 2 4" xfId="1078"/>
    <cellStyle name="Percent 2 5" xfId="1079"/>
    <cellStyle name="Percent 2 6" xfId="1080"/>
    <cellStyle name="Percent 2 7" xfId="1081"/>
    <cellStyle name="Percent 2 8" xfId="1082"/>
    <cellStyle name="Percent 2 9" xfId="1083"/>
    <cellStyle name="Percent 3" xfId="7"/>
    <cellStyle name="Percent 3 2" xfId="1085"/>
    <cellStyle name="Percent 3 3" xfId="1086"/>
    <cellStyle name="Percent 3 4" xfId="1087"/>
    <cellStyle name="Percent 3 5" xfId="1084"/>
    <cellStyle name="Percent 3 6" xfId="138"/>
    <cellStyle name="Percent 4" xfId="139"/>
    <cellStyle name="Percent 4 2" xfId="1281"/>
    <cellStyle name="Percent 4 3" xfId="1088"/>
    <cellStyle name="Percent 5" xfId="140"/>
    <cellStyle name="Percent 6" xfId="648"/>
    <cellStyle name="Percent 7" xfId="1089"/>
    <cellStyle name="Percent 8" xfId="1090"/>
    <cellStyle name="Percent 9" xfId="1091"/>
    <cellStyle name="pObj" xfId="649"/>
    <cellStyle name="PrePop Currency (0)" xfId="650"/>
    <cellStyle name="PrePop Currency (0) 2" xfId="1092"/>
    <cellStyle name="PrePop Currency (2)" xfId="651"/>
    <cellStyle name="PrePop Currency (2) 2" xfId="1093"/>
    <cellStyle name="PrePop Units (0)" xfId="652"/>
    <cellStyle name="PrePop Units (0) 2" xfId="1094"/>
    <cellStyle name="PrePop Units (1)" xfId="653"/>
    <cellStyle name="PrePop Units (1) 2" xfId="1095"/>
    <cellStyle name="PrePop Units (2)" xfId="654"/>
    <cellStyle name="PrePop Units (2) 2" xfId="1096"/>
    <cellStyle name="Reset  - Style4" xfId="1097"/>
    <cellStyle name="Reset  - Style7" xfId="655"/>
    <cellStyle name="Reset range style to defaults" xfId="1098"/>
    <cellStyle name="RevList" xfId="656"/>
    <cellStyle name="SAPBEXchaText" xfId="141"/>
    <cellStyle name="SAPBEXfilterDrill" xfId="142"/>
    <cellStyle name="SAPBEXfilterItem" xfId="143"/>
    <cellStyle name="SAPBEXheaderItem" xfId="144"/>
    <cellStyle name="SAPBEXheaderText" xfId="145"/>
    <cellStyle name="SAPBEXstdData" xfId="146"/>
    <cellStyle name="SAPBEXstdItem" xfId="147"/>
    <cellStyle name="SAPBEXstdItemX" xfId="148"/>
    <cellStyle name="SAPBEXtitle" xfId="149"/>
    <cellStyle name="sbt2" xfId="657"/>
    <cellStyle name="sion Log" xfId="658"/>
    <cellStyle name="Source" xfId="1099"/>
    <cellStyle name="Standard_BS14" xfId="1100"/>
    <cellStyle name="STYL1 - Style1" xfId="1101"/>
    <cellStyle name="Style 1" xfId="150"/>
    <cellStyle name="Style 1 2" xfId="1102"/>
    <cellStyle name="subhead" xfId="659"/>
    <cellStyle name="subt1" xfId="660"/>
    <cellStyle name="Subtotal" xfId="661"/>
    <cellStyle name="table" xfId="1103"/>
    <cellStyle name="Table  - Style5" xfId="1104"/>
    <cellStyle name="Table  - Style6" xfId="662"/>
    <cellStyle name="Table Title" xfId="1105"/>
    <cellStyle name="Text Indent A" xfId="663"/>
    <cellStyle name="Text Indent B" xfId="664"/>
    <cellStyle name="Text Indent B 2" xfId="1106"/>
    <cellStyle name="Text Indent C" xfId="665"/>
    <cellStyle name="Text Indent C 2" xfId="1107"/>
    <cellStyle name="Times New Roman" xfId="151"/>
    <cellStyle name="Title  - Style1" xfId="666"/>
    <cellStyle name="Title  - Style6" xfId="1108"/>
    <cellStyle name="Title 2" xfId="197"/>
    <cellStyle name="Title 2 2" xfId="667"/>
    <cellStyle name="Title 3" xfId="668"/>
    <cellStyle name="Title 4" xfId="1234"/>
    <cellStyle name="Title 5" xfId="1261"/>
    <cellStyle name="Title 6" xfId="152"/>
    <cellStyle name="Title 7" xfId="1323"/>
    <cellStyle name="Total 2" xfId="154"/>
    <cellStyle name="Total 2 2" xfId="155"/>
    <cellStyle name="Total 3" xfId="669"/>
    <cellStyle name="Total 3 2" xfId="1186"/>
    <cellStyle name="Total 4" xfId="1235"/>
    <cellStyle name="Total 5" xfId="1262"/>
    <cellStyle name="Total 6" xfId="153"/>
    <cellStyle name="TotCol - Style5" xfId="670"/>
    <cellStyle name="TotCol - Style7" xfId="1109"/>
    <cellStyle name="TotRow - Style4" xfId="671"/>
    <cellStyle name="TotRow - Style8" xfId="1110"/>
    <cellStyle name="ưì０O" xfId="1111"/>
    <cellStyle name="umentSummaryInformation" xfId="672"/>
    <cellStyle name="ummaryInformation" xfId="673"/>
    <cellStyle name="W?rung [0]_Pr.Ev. CCC" xfId="156"/>
    <cellStyle name="W?rung_Pr.Ev. CCC" xfId="157"/>
    <cellStyle name="Warning Text 2" xfId="198"/>
    <cellStyle name="Warning Text 2 2" xfId="674"/>
    <cellStyle name="Warning Text 3" xfId="675"/>
    <cellStyle name="Warning Text 4" xfId="1236"/>
    <cellStyle name="Warning Text 5" xfId="1263"/>
    <cellStyle name="Warning Text 6" xfId="158"/>
    <cellStyle name="Yellow" xfId="159"/>
    <cellStyle name="Yellow 2" xfId="1112"/>
    <cellStyle name="Yellow 3" xfId="1113"/>
    <cellStyle name="Yellow 4" xfId="1187"/>
    <cellStyle name="Yellow 5" xfId="1237"/>
    <cellStyle name="Yellow 6" xfId="1264"/>
    <cellStyle name="꒰腛_x0001_" xfId="1114"/>
    <cellStyle name="쉼표_india cement IC June 2004" xfId="1115"/>
    <cellStyle name="즠¢➲b진¢⟂b짬¢⟒b쨈¢⟢b阨¢⟲b限¢⠂b陴¢⠒b隠¢⠢b雄¢⠲bBook" xfId="676"/>
    <cellStyle name="표준_india cement IC June 2004" xfId="1116"/>
    <cellStyle name="하이퍼링크_india cement IC June 2004" xfId="1117"/>
    <cellStyle name="千位分隔_SCHEDULES(1)" xfId="1118"/>
    <cellStyle name="常规_b.sheet-usd" xfId="1119"/>
    <cellStyle name="標準_NSGVBudget2003" xfId="677"/>
    <cellStyle name="篌¢␢b捠¢␲b_x0001_CompObj" xfId="678"/>
    <cellStyle name="籄¢⒒b粰¢⒢b糤¢⒲b経¢Ⓜb撬¢ⓒb擤¢ⓢb攨¢⓲b敜¢│b斔¢┒b絴¢┢b綜¢┲bCtls" xfId="679"/>
    <cellStyle name="纐¢◒b纴¢◢b绘¢◲b缐¢☂b钰¢☒b铰¢☢b锘¢☲bRevision Log" xfId="680"/>
    <cellStyle name="鐄¢▂b鐴¢▒b鑜¢▢b针¢▲b繜¢◂b纐¢◒b纴¢◢b绘¢◲b缐¢☂b钰¢☒b铰¢☢b锘¢☲bRevision Log" xfId="681"/>
    <cellStyle name="門¢⚲b閤¢⛂b闼¢⛒b⯐¤⛢b⯴¤⛲b哔£✂b哸£✒b啐£✢b啴£✲bUser Names" xfId="682"/>
    <cellStyle name="陴¢⠒b隠¢⠢b雄¢⠲bBook" xfId="683"/>
  </cellStyles>
  <dxfs count="231">
    <dxf>
      <font>
        <color rgb="FFFF0000"/>
      </font>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FF0000"/>
      </font>
    </dxf>
    <dxf>
      <font>
        <color rgb="FF9C0006"/>
      </font>
      <fill>
        <patternFill>
          <bgColor rgb="FFFFC7CE"/>
        </patternFill>
      </fill>
    </dxf>
    <dxf>
      <fill>
        <patternFill>
          <bgColor theme="5" tint="0.39994506668294322"/>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5" tint="-0.249977111117893"/>
        </patternFill>
      </fill>
    </dxf>
    <dxf>
      <fill>
        <patternFill patternType="solid">
          <bgColor theme="5" tint="-0.249977111117893"/>
        </patternFill>
      </fill>
    </dxf>
    <dxf>
      <fill>
        <patternFill patternType="solid">
          <bgColor theme="5" tint="-0.249977111117893"/>
        </patternFill>
      </fill>
    </dxf>
    <dxf>
      <fill>
        <patternFill patternType="solid">
          <bgColor theme="5" tint="-0.249977111117893"/>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theme="8" tint="0.3999755851924192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numFmt numFmtId="35" formatCode="_ * #,##0.00_ ;_ * \-#,##0.00_ ;_ * &quot;-&quot;??_ ;_ @_ "/>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patternType="solid">
          <bgColor rgb="FFFFC000"/>
        </patternFill>
      </fill>
    </dxf>
    <dxf>
      <fill>
        <patternFill>
          <bgColor rgb="FFFFC000"/>
        </patternFill>
      </fill>
    </dxf>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9" Type="http://schemas.openxmlformats.org/officeDocument/2006/relationships/externalLink" Target="externalLinks/externalLink22.xml"/><Relationship Id="rId21" Type="http://schemas.openxmlformats.org/officeDocument/2006/relationships/externalLink" Target="externalLinks/externalLink4.xml"/><Relationship Id="rId34" Type="http://schemas.openxmlformats.org/officeDocument/2006/relationships/externalLink" Target="externalLinks/externalLink17.xml"/><Relationship Id="rId42" Type="http://schemas.openxmlformats.org/officeDocument/2006/relationships/externalLink" Target="externalLinks/externalLink25.xml"/><Relationship Id="rId47" Type="http://schemas.openxmlformats.org/officeDocument/2006/relationships/externalLink" Target="externalLinks/externalLink30.xml"/><Relationship Id="rId50" Type="http://schemas.openxmlformats.org/officeDocument/2006/relationships/externalLink" Target="externalLinks/externalLink33.xml"/><Relationship Id="rId55" Type="http://schemas.openxmlformats.org/officeDocument/2006/relationships/externalLink" Target="externalLinks/externalLink38.xml"/><Relationship Id="rId63" Type="http://schemas.openxmlformats.org/officeDocument/2006/relationships/externalLink" Target="externalLinks/externalLink46.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externalLink" Target="externalLinks/externalLink20.xml"/><Relationship Id="rId40" Type="http://schemas.openxmlformats.org/officeDocument/2006/relationships/externalLink" Target="externalLinks/externalLink23.xml"/><Relationship Id="rId45" Type="http://schemas.openxmlformats.org/officeDocument/2006/relationships/externalLink" Target="externalLinks/externalLink28.xml"/><Relationship Id="rId53" Type="http://schemas.openxmlformats.org/officeDocument/2006/relationships/externalLink" Target="externalLinks/externalLink36.xml"/><Relationship Id="rId58" Type="http://schemas.openxmlformats.org/officeDocument/2006/relationships/externalLink" Target="externalLinks/externalLink41.xml"/><Relationship Id="rId66" Type="http://schemas.openxmlformats.org/officeDocument/2006/relationships/externalLink" Target="externalLinks/externalLink4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externalLink" Target="externalLinks/externalLink19.xml"/><Relationship Id="rId49" Type="http://schemas.openxmlformats.org/officeDocument/2006/relationships/externalLink" Target="externalLinks/externalLink32.xml"/><Relationship Id="rId57" Type="http://schemas.openxmlformats.org/officeDocument/2006/relationships/externalLink" Target="externalLinks/externalLink40.xml"/><Relationship Id="rId61" Type="http://schemas.openxmlformats.org/officeDocument/2006/relationships/externalLink" Target="externalLinks/externalLink44.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4" Type="http://schemas.openxmlformats.org/officeDocument/2006/relationships/externalLink" Target="externalLinks/externalLink27.xml"/><Relationship Id="rId52" Type="http://schemas.openxmlformats.org/officeDocument/2006/relationships/externalLink" Target="externalLinks/externalLink35.xml"/><Relationship Id="rId60" Type="http://schemas.openxmlformats.org/officeDocument/2006/relationships/externalLink" Target="externalLinks/externalLink43.xml"/><Relationship Id="rId65" Type="http://schemas.openxmlformats.org/officeDocument/2006/relationships/externalLink" Target="externalLinks/externalLink4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externalLink" Target="externalLinks/externalLink18.xml"/><Relationship Id="rId43" Type="http://schemas.openxmlformats.org/officeDocument/2006/relationships/externalLink" Target="externalLinks/externalLink26.xml"/><Relationship Id="rId48" Type="http://schemas.openxmlformats.org/officeDocument/2006/relationships/externalLink" Target="externalLinks/externalLink31.xml"/><Relationship Id="rId56" Type="http://schemas.openxmlformats.org/officeDocument/2006/relationships/externalLink" Target="externalLinks/externalLink39.xml"/><Relationship Id="rId64" Type="http://schemas.openxmlformats.org/officeDocument/2006/relationships/externalLink" Target="externalLinks/externalLink47.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3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externalLink" Target="externalLinks/externalLink21.xml"/><Relationship Id="rId46" Type="http://schemas.openxmlformats.org/officeDocument/2006/relationships/externalLink" Target="externalLinks/externalLink29.xml"/><Relationship Id="rId59" Type="http://schemas.openxmlformats.org/officeDocument/2006/relationships/externalLink" Target="externalLinks/externalLink42.xml"/><Relationship Id="rId67" Type="http://schemas.openxmlformats.org/officeDocument/2006/relationships/pivotCacheDefinition" Target="pivotCache/pivotCacheDefinition1.xml"/><Relationship Id="rId20" Type="http://schemas.openxmlformats.org/officeDocument/2006/relationships/externalLink" Target="externalLinks/externalLink3.xml"/><Relationship Id="rId41" Type="http://schemas.openxmlformats.org/officeDocument/2006/relationships/externalLink" Target="externalLinks/externalLink24.xml"/><Relationship Id="rId54" Type="http://schemas.openxmlformats.org/officeDocument/2006/relationships/externalLink" Target="externalLinks/externalLink37.xml"/><Relationship Id="rId62" Type="http://schemas.openxmlformats.org/officeDocument/2006/relationships/externalLink" Target="externalLinks/externalLink45.xml"/><Relationship Id="rId7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unil\c\My%20Documents\wellknown\6YrAnly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AURAV\DATA\WINDOWS\TEMP\WINDOWS\TEMP\BAL59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spl\c\WINDOWS\TEMP\Bal-sh-31.03.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ord/Documents%20and%20Settings/administrator/Local%20Settings/Temporary%20Internet%20Files/Content.IE5/7C88GHDK/march2002-tax%20account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gfl\DATA1\Audit-F.Y.2003-04\24a%20&amp;%2024b%20-%20Site%20-%2014.08.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word/Documents%20and%20Settings/Praveen/Desktop/FINANCIALS%20-%20APR02-MAR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word/Backup/Balance%20Sheet%202006-07/WINDOWS/Temporary%20Internet%20Files/OLKB086/P_SEG_CF.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uditor\D\BACKUP%20OF%20SANJAY%20SIR%20AS%20ON%2019-7-06\My%20Documents\BS%202005-2006\Lucky\Audits\Par%20Computer%20Sciences%20Ltd%20New\Par%20Computer%20Sciences%20Ltd\Capital%20Gain%20Shee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rver\e\KSP-2006\FA2006\FAINDIAN\AUG'06\FA_INDIAN_CCCO-31.12.2005\Indian%20FA%20Books%2031-12-%2020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14.71.78\c\Documents%20and%20Settings\Praveen\Desktop\FINANCIALS%20-%20APR02-MAR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avi\c\FIN2\RAVI\TAXAUDIT\DEPIT9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word/Documents%20and%20Settings/deepakjain/Desktop/FSD/BGFL%20financial%20stat%20Marchr%20200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Z:\finalisation07\ABNL%2007\BGFL%20financial%20stat%20March%202007-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Z:\finalisation07\ABNL%2007\BSHEETMarch%2007%20(Worli).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Internet\c\Audit-2007\Navratna-2007\Navratna%20Sushil%20Final\Navratna%20BS%20prov%20sushi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0.14.71.78\c\Documents%20and%20Settings\sivaguru\Local%20Settings\Temporary%20Internet%20Files\Content.IE5\OFXNYAJL\PP_Master%20Templat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zenith\Malpani%20Auditor\WINDOWS\Temporary%20Internet%20Files\Content.IE5\6Y3HDB9J\Finalisation%20in%20excel_22-09-200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eetu\PURU\Documents%20and%20Settings\Administrator\Desktop\Ernst%20&amp;Young\Financials\Purushothaman%20K%20.%20Gopalakrishnan\Andersen%20India%20Data\Client\Dystar\Financials\GRP20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is-ddc\c\Emails\Dipak\CarbonblackMi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nil\FORMATS\Report%20Format-05060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Vinod\C\Documents%20and%20Settings\Administrator\Desktop\ETDS\ETDS%202007\Q3\BALAN\BALAN%2026Q.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ppl\HAT\Documents%20and%20Settings\Administrator\Desktop\Ashish%20Dec05\Exlpla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Z:\BACKUP\DEEPAK%20JAIN\FSD\BGFL%20financial%20stat%20Marchr%20200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ode1\c\Audit-2002\BS%20sept,%2001\Amol\AMOL%20-%20sept200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KAMLESHVIKAMSEY\Data\DATA\EXCEL\ST\ST99\GAUTAM.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gfl\data1\user\manish\june2003qtrly\deftax.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Z:\user\manish\December%2004\Dec0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JMERA\DATA\My%20Documents\Finalisation\BS%20WORKING.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GAURAV\DATA\WINDOWS\DESKTOP\HLL-FILTER-gaurav.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JMERA\DATA\DATA\Audit-2001\Ajit\AMOL\FINAL%20FOLDER\amol-fin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JMERA\DATA\DATA\Audit-2001\Ajit\AMOL\FINAL%20FOLDER\mai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omp1\c\WINDOWS\TEMP\prov.%20balsheet31.3.03%20uwb.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ct-old\d\Audit\Tax%20Audit%202006\P&amp;%20Q.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Iril-hyperion\d\WINDOWS\Temporary%20Internet%20Files\OLK80A6\RAJNI0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omp1\c\backup%20c\Annual%20Report\Audit\Stock\Copy%20of%20stock%20working.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Rspl\c\CHANVIM%20GROUP\CHANVIM%20PLASTICS\Audit%202003\Annual%20Report\prov.%20balsheet31.3.03%20uwb.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MAILSERVER\Mahesh\Audit\audit_01-02\BS_PL_rep\TB_01_0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Documents%20and%20Settings\mhnh\My%20Documents\2001\Asia%20Pacific\Plan\5Y_v2.14.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192.168.1.4\kdocicai$\SHAILENDRA%20Dwivedi\block\Annual%20Report\2006-2007\NUVO\New%20Folder\BS%20March06.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Prathmes\d\J%20VISH\Documents%20and%20Settings\deepali\Local%20Settings\Temporary%20Internet%20Files\Content.IE5\EFQJADAR\Documents%20and%20Settings\oprater\Local%20Settings\Temporary%20Internet%20Files\Content.IE5\A1GJI501\Documents%20"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Rspl\c\Audit-2003\Ramanuj\Annual%20Report\final%20balsheet%20ramanuj.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erver\data\Documents%20and%20Settings\administrator\Local%20Settings\Temporary%20Internet%20Files\Content.IE5\7C88GHDK\march2002-tax%20account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Audit%20Year%20Wise/Audit%202012/Annapurna/WORKINGS/audit%202012/Annual%20report/Annapurna_Final_March_2012%202209201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Audit%20Reports/2019-20/Hardoli%20Paper%20Mills%20Limited/half%20year%20results/Final%20Set/Results%20&amp;%20BSPL123%20FINAL.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1506/FA%20REGISTER%2031.03.2020.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Audit%20Reports/2018-19/Hardoli%20Paper%20Mills%20Limited/Hardoli%201920/Balance%20Sheet/BS2605/BS2605.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arak-pc\Hardoli%20Paper%20Mills%20Ltd%20Final\Final%20_HPML%20BS%20March%202017.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ardoli%20Paper%20Mills%20Ltd%20Final/BS/FINAL%20BAL%20SHEET%20HARDOLI.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Ardoli2021/Finan1920/Bsheet/0606/BS06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s"/>
      <sheetName val="wpl"/>
      <sheetName val="wtil"/>
      <sheetName val="combined"/>
      <sheetName val="Bal Sht &amp; P&amp;L"/>
      <sheetName val="Challan"/>
    </sheetNames>
    <sheetDataSet>
      <sheetData sheetId="0" refreshError="1"/>
      <sheetData sheetId="1">
        <row r="2">
          <cell r="B2" t="str">
            <v>WELLKNOWN  POLYESTERS LTD.</v>
          </cell>
        </row>
        <row r="3">
          <cell r="B3" t="str">
            <v>-</v>
          </cell>
          <cell r="C3" t="str">
            <v>-</v>
          </cell>
          <cell r="D3" t="str">
            <v>-</v>
          </cell>
          <cell r="E3">
            <v>0</v>
          </cell>
          <cell r="F3">
            <v>0</v>
          </cell>
          <cell r="G3">
            <v>0</v>
          </cell>
          <cell r="H3">
            <v>0</v>
          </cell>
        </row>
        <row r="4">
          <cell r="B4" t="str">
            <v>BALANCE    SHEET     FOR    LAST    SIX  YEARS</v>
          </cell>
        </row>
        <row r="6">
          <cell r="B6" t="str">
            <v>-</v>
          </cell>
          <cell r="C6" t="str">
            <v>-</v>
          </cell>
          <cell r="D6" t="str">
            <v>-</v>
          </cell>
          <cell r="E6" t="str">
            <v>-</v>
          </cell>
          <cell r="F6" t="str">
            <v>-</v>
          </cell>
          <cell r="G6" t="str">
            <v>-</v>
          </cell>
          <cell r="H6" t="str">
            <v>-</v>
          </cell>
        </row>
        <row r="7">
          <cell r="B7" t="str">
            <v>PARTICULARS</v>
          </cell>
          <cell r="C7" t="str">
            <v>1997-98</v>
          </cell>
          <cell r="D7" t="str">
            <v>1998-99</v>
          </cell>
          <cell r="E7" t="str">
            <v>1999-00</v>
          </cell>
          <cell r="F7" t="str">
            <v>2000-01</v>
          </cell>
          <cell r="G7" t="str">
            <v>2001-02</v>
          </cell>
          <cell r="H7" t="str">
            <v>2002-03</v>
          </cell>
        </row>
        <row r="8">
          <cell r="B8" t="str">
            <v>-</v>
          </cell>
          <cell r="C8" t="str">
            <v>-</v>
          </cell>
          <cell r="D8" t="str">
            <v>-</v>
          </cell>
          <cell r="E8" t="str">
            <v>-</v>
          </cell>
          <cell r="F8" t="str">
            <v>-</v>
          </cell>
          <cell r="G8" t="str">
            <v>-</v>
          </cell>
          <cell r="H8" t="str">
            <v>-</v>
          </cell>
        </row>
        <row r="9">
          <cell r="B9" t="str">
            <v>SOURCES OF  FUNDS</v>
          </cell>
        </row>
        <row r="11">
          <cell r="B11" t="str">
            <v>Shareholders' Funds</v>
          </cell>
        </row>
        <row r="13">
          <cell r="B13" t="str">
            <v>a. Share  Capital</v>
          </cell>
          <cell r="C13">
            <v>32.729999999999997</v>
          </cell>
          <cell r="D13">
            <v>35.229999999999997</v>
          </cell>
          <cell r="E13">
            <v>35.229999999999997</v>
          </cell>
          <cell r="F13">
            <v>32.729999999999997</v>
          </cell>
          <cell r="G13">
            <v>32.729999999999997</v>
          </cell>
          <cell r="H13">
            <v>50.73</v>
          </cell>
        </row>
        <row r="14">
          <cell r="B14" t="str">
            <v xml:space="preserve">    Growth  %</v>
          </cell>
          <cell r="D14">
            <v>7.6382523678582351E-2</v>
          </cell>
          <cell r="E14">
            <v>0</v>
          </cell>
          <cell r="F14">
            <v>-7.0962248084019311E-2</v>
          </cell>
          <cell r="G14">
            <v>0</v>
          </cell>
          <cell r="H14">
            <v>0.54995417048579287</v>
          </cell>
        </row>
        <row r="16">
          <cell r="B16" t="str">
            <v>b. Share Application  Money</v>
          </cell>
          <cell r="C16">
            <v>0</v>
          </cell>
          <cell r="D16">
            <v>0</v>
          </cell>
          <cell r="E16">
            <v>0</v>
          </cell>
          <cell r="F16">
            <v>0</v>
          </cell>
          <cell r="G16">
            <v>0</v>
          </cell>
          <cell r="H16">
            <v>0</v>
          </cell>
        </row>
        <row r="17">
          <cell r="C17">
            <v>0</v>
          </cell>
          <cell r="D17">
            <v>0</v>
          </cell>
          <cell r="E17">
            <v>0</v>
          </cell>
          <cell r="F17">
            <v>0</v>
          </cell>
          <cell r="G17">
            <v>0</v>
          </cell>
          <cell r="H17">
            <v>0</v>
          </cell>
        </row>
        <row r="18">
          <cell r="B18" t="str">
            <v>c. Reserves and Surplus</v>
          </cell>
          <cell r="C18">
            <v>138.5</v>
          </cell>
          <cell r="D18">
            <v>219.18</v>
          </cell>
          <cell r="E18">
            <v>282.08999999999997</v>
          </cell>
          <cell r="F18">
            <v>258.01</v>
          </cell>
          <cell r="G18">
            <v>367.36700000000002</v>
          </cell>
          <cell r="H18">
            <v>868.21699999999998</v>
          </cell>
        </row>
        <row r="19">
          <cell r="B19" t="str">
            <v xml:space="preserve">    Growth  %</v>
          </cell>
          <cell r="D19">
            <v>0.58252707581227436</v>
          </cell>
          <cell r="E19">
            <v>0.28702436353681887</v>
          </cell>
          <cell r="F19">
            <v>-8.5362827466411384E-2</v>
          </cell>
          <cell r="G19">
            <v>0.42384791287159423</v>
          </cell>
          <cell r="H19">
            <v>1.3633505459118536</v>
          </cell>
        </row>
        <row r="21">
          <cell r="C21" t="str">
            <v>-</v>
          </cell>
          <cell r="D21" t="str">
            <v>-</v>
          </cell>
          <cell r="E21" t="str">
            <v>-</v>
          </cell>
          <cell r="F21" t="str">
            <v>-</v>
          </cell>
          <cell r="G21" t="str">
            <v>-</v>
          </cell>
          <cell r="H21" t="str">
            <v>-</v>
          </cell>
        </row>
        <row r="22">
          <cell r="C22">
            <v>171.23</v>
          </cell>
          <cell r="D22">
            <v>254.41</v>
          </cell>
          <cell r="E22">
            <v>317.32</v>
          </cell>
          <cell r="F22">
            <v>290.74</v>
          </cell>
          <cell r="G22">
            <v>400.09700000000004</v>
          </cell>
          <cell r="H22">
            <v>918.947</v>
          </cell>
        </row>
        <row r="23">
          <cell r="C23" t="str">
            <v>-</v>
          </cell>
          <cell r="D23" t="str">
            <v>-</v>
          </cell>
          <cell r="E23" t="str">
            <v>-</v>
          </cell>
          <cell r="F23" t="str">
            <v>-</v>
          </cell>
          <cell r="G23" t="str">
            <v>-</v>
          </cell>
          <cell r="H23" t="str">
            <v>-</v>
          </cell>
        </row>
        <row r="24">
          <cell r="B24" t="str">
            <v>Loan  Funds</v>
          </cell>
          <cell r="C24">
            <v>0</v>
          </cell>
          <cell r="D24">
            <v>0</v>
          </cell>
          <cell r="E24">
            <v>0</v>
          </cell>
          <cell r="F24">
            <v>0</v>
          </cell>
          <cell r="G24">
            <v>0</v>
          </cell>
          <cell r="H24">
            <v>0</v>
          </cell>
        </row>
        <row r="26">
          <cell r="B26" t="str">
            <v>a. Secured  Loans</v>
          </cell>
          <cell r="C26">
            <v>312.99</v>
          </cell>
          <cell r="D26">
            <v>373.2</v>
          </cell>
          <cell r="E26">
            <v>445.56</v>
          </cell>
          <cell r="F26">
            <v>184.79</v>
          </cell>
          <cell r="G26">
            <v>395.6</v>
          </cell>
          <cell r="H26">
            <v>852.10500000000002</v>
          </cell>
        </row>
        <row r="27">
          <cell r="B27" t="str">
            <v xml:space="preserve">    Growth  %</v>
          </cell>
          <cell r="D27">
            <v>0.19237036327039195</v>
          </cell>
          <cell r="E27">
            <v>0.19389067524115761</v>
          </cell>
          <cell r="F27">
            <v>-0.58526348864350475</v>
          </cell>
          <cell r="G27">
            <v>1.1408084853076468</v>
          </cell>
          <cell r="H27">
            <v>1.1539560161779574</v>
          </cell>
        </row>
        <row r="29">
          <cell r="B29" t="str">
            <v>b.  Unsecured  Loans</v>
          </cell>
          <cell r="C29">
            <v>18.25</v>
          </cell>
          <cell r="D29">
            <v>115.25</v>
          </cell>
          <cell r="E29">
            <v>30.5</v>
          </cell>
          <cell r="F29">
            <v>0</v>
          </cell>
          <cell r="G29">
            <v>0</v>
          </cell>
          <cell r="H29">
            <v>13.885</v>
          </cell>
        </row>
        <row r="30">
          <cell r="C30" t="str">
            <v>-</v>
          </cell>
          <cell r="D30" t="str">
            <v>-</v>
          </cell>
          <cell r="E30" t="str">
            <v>-</v>
          </cell>
          <cell r="F30" t="str">
            <v>-</v>
          </cell>
          <cell r="G30" t="str">
            <v>-</v>
          </cell>
          <cell r="H30" t="str">
            <v>-</v>
          </cell>
        </row>
        <row r="31">
          <cell r="C31">
            <v>331.24</v>
          </cell>
          <cell r="D31">
            <v>488.45</v>
          </cell>
          <cell r="E31">
            <v>476.06</v>
          </cell>
          <cell r="F31">
            <v>184.79</v>
          </cell>
          <cell r="G31">
            <v>395.6</v>
          </cell>
          <cell r="H31">
            <v>865.99</v>
          </cell>
        </row>
        <row r="32">
          <cell r="C32" t="str">
            <v>-</v>
          </cell>
          <cell r="D32" t="str">
            <v>-</v>
          </cell>
          <cell r="E32" t="str">
            <v>-</v>
          </cell>
          <cell r="F32" t="str">
            <v>-</v>
          </cell>
          <cell r="G32" t="str">
            <v>-</v>
          </cell>
          <cell r="H32" t="str">
            <v>-</v>
          </cell>
        </row>
        <row r="34">
          <cell r="C34" t="str">
            <v>-</v>
          </cell>
          <cell r="D34" t="str">
            <v>-</v>
          </cell>
          <cell r="E34" t="str">
            <v>-</v>
          </cell>
          <cell r="F34" t="str">
            <v>-</v>
          </cell>
          <cell r="G34" t="str">
            <v>-</v>
          </cell>
          <cell r="H34" t="str">
            <v>-</v>
          </cell>
        </row>
        <row r="35">
          <cell r="B35" t="str">
            <v>TOTAL</v>
          </cell>
          <cell r="C35">
            <v>502.47</v>
          </cell>
          <cell r="D35">
            <v>742.86</v>
          </cell>
          <cell r="E35">
            <v>793.38</v>
          </cell>
          <cell r="F35">
            <v>475.53</v>
          </cell>
          <cell r="G35">
            <v>795.69700000000012</v>
          </cell>
          <cell r="H35">
            <v>1784.9369999999999</v>
          </cell>
        </row>
        <row r="36">
          <cell r="C36" t="str">
            <v>=</v>
          </cell>
          <cell r="D36" t="str">
            <v>=</v>
          </cell>
          <cell r="E36" t="str">
            <v>=</v>
          </cell>
          <cell r="F36" t="str">
            <v>=</v>
          </cell>
          <cell r="G36" t="str">
            <v>=</v>
          </cell>
          <cell r="H36" t="str">
            <v>=</v>
          </cell>
        </row>
        <row r="38">
          <cell r="B38" t="str">
            <v>APPLICATION  OF  FUNDS</v>
          </cell>
        </row>
        <row r="40">
          <cell r="B40" t="str">
            <v>Fixed  Assets</v>
          </cell>
        </row>
        <row r="42">
          <cell r="B42" t="str">
            <v>Gross  Block</v>
          </cell>
          <cell r="C42">
            <v>314.74</v>
          </cell>
          <cell r="D42">
            <v>452.29</v>
          </cell>
          <cell r="E42">
            <v>453.95</v>
          </cell>
          <cell r="F42">
            <v>460.74</v>
          </cell>
          <cell r="G42">
            <v>813.14</v>
          </cell>
          <cell r="H42">
            <v>1436.258</v>
          </cell>
        </row>
        <row r="43">
          <cell r="B43" t="str">
            <v>Growth  %</v>
          </cell>
          <cell r="D43">
            <v>0.43702738768507343</v>
          </cell>
          <cell r="E43">
            <v>3.6702115899090587E-3</v>
          </cell>
          <cell r="F43">
            <v>1.4957594448727879E-2</v>
          </cell>
          <cell r="G43">
            <v>0.76485653513912399</v>
          </cell>
          <cell r="H43">
            <v>0.76631084438104147</v>
          </cell>
        </row>
        <row r="44">
          <cell r="B44">
            <v>0</v>
          </cell>
        </row>
        <row r="45">
          <cell r="B45" t="str">
            <v>Less: Depreciation</v>
          </cell>
          <cell r="C45">
            <v>15.99</v>
          </cell>
          <cell r="D45">
            <v>33.44</v>
          </cell>
          <cell r="E45">
            <v>57.4</v>
          </cell>
          <cell r="F45">
            <v>190.97</v>
          </cell>
          <cell r="G45">
            <v>265.17</v>
          </cell>
          <cell r="H45">
            <v>325.17399999999998</v>
          </cell>
        </row>
        <row r="46">
          <cell r="C46" t="str">
            <v>-</v>
          </cell>
          <cell r="D46" t="str">
            <v>-</v>
          </cell>
          <cell r="E46" t="str">
            <v>-</v>
          </cell>
          <cell r="F46" t="str">
            <v>-</v>
          </cell>
          <cell r="G46" t="str">
            <v>-</v>
          </cell>
          <cell r="H46" t="str">
            <v>-</v>
          </cell>
        </row>
        <row r="47">
          <cell r="B47" t="str">
            <v>Net  Block</v>
          </cell>
          <cell r="C47">
            <v>298.75</v>
          </cell>
          <cell r="D47">
            <v>418.85</v>
          </cell>
          <cell r="E47">
            <v>396.55</v>
          </cell>
          <cell r="F47">
            <v>269.77</v>
          </cell>
          <cell r="G47">
            <v>547.97</v>
          </cell>
          <cell r="H47">
            <v>1111.0840000000001</v>
          </cell>
        </row>
        <row r="49">
          <cell r="B49" t="str">
            <v>Investments</v>
          </cell>
          <cell r="C49">
            <v>44.5</v>
          </cell>
          <cell r="D49">
            <v>56.4</v>
          </cell>
          <cell r="E49">
            <v>0.4</v>
          </cell>
          <cell r="F49">
            <v>0.4</v>
          </cell>
          <cell r="G49">
            <v>0.4</v>
          </cell>
          <cell r="H49">
            <v>173</v>
          </cell>
        </row>
        <row r="50">
          <cell r="B50" t="str">
            <v>Growth  %</v>
          </cell>
          <cell r="D50">
            <v>0.26741573033707861</v>
          </cell>
          <cell r="E50">
            <v>-0.99290780141843971</v>
          </cell>
          <cell r="F50">
            <v>0</v>
          </cell>
          <cell r="G50">
            <v>0</v>
          </cell>
          <cell r="H50">
            <v>431.49999999999994</v>
          </cell>
        </row>
        <row r="52">
          <cell r="B52" t="str">
            <v>Current Assets, Loans &amp; Advances</v>
          </cell>
        </row>
        <row r="54">
          <cell r="B54" t="str">
            <v>a. Inventories</v>
          </cell>
          <cell r="C54">
            <v>45.33</v>
          </cell>
          <cell r="D54">
            <v>53.25</v>
          </cell>
          <cell r="E54">
            <v>41.57</v>
          </cell>
          <cell r="F54">
            <v>58.55</v>
          </cell>
          <cell r="G54">
            <v>130.61000000000001</v>
          </cell>
          <cell r="H54">
            <v>288.3</v>
          </cell>
        </row>
        <row r="56">
          <cell r="B56" t="str">
            <v>b. Sundry  Debtors</v>
          </cell>
          <cell r="C56">
            <v>52.62</v>
          </cell>
          <cell r="D56">
            <v>41.46</v>
          </cell>
          <cell r="E56">
            <v>105.17</v>
          </cell>
          <cell r="F56">
            <v>100.47</v>
          </cell>
          <cell r="G56">
            <v>87.53</v>
          </cell>
          <cell r="H56">
            <v>95.6</v>
          </cell>
        </row>
        <row r="58">
          <cell r="B58" t="str">
            <v>c.  Cash &amp; Bank Balances</v>
          </cell>
          <cell r="C58">
            <v>25.15</v>
          </cell>
          <cell r="D58">
            <v>37.33</v>
          </cell>
          <cell r="E58">
            <v>23.84</v>
          </cell>
          <cell r="F58">
            <v>11.56</v>
          </cell>
          <cell r="G58">
            <v>1.54</v>
          </cell>
          <cell r="H58">
            <v>2.4700000000000002</v>
          </cell>
        </row>
        <row r="60">
          <cell r="B60" t="str">
            <v>d.  Loans &amp;  Advances</v>
          </cell>
          <cell r="C60">
            <v>40.089999999999996</v>
          </cell>
          <cell r="D60">
            <v>135.42000000000002</v>
          </cell>
          <cell r="E60">
            <v>257.35000000000002</v>
          </cell>
          <cell r="F60">
            <v>61.674999999999997</v>
          </cell>
          <cell r="G60">
            <v>112.2</v>
          </cell>
          <cell r="H60">
            <v>75.19</v>
          </cell>
        </row>
        <row r="62">
          <cell r="B62" t="str">
            <v>e.  Deposits</v>
          </cell>
          <cell r="C62">
            <v>31.54</v>
          </cell>
          <cell r="D62">
            <v>31.63</v>
          </cell>
          <cell r="E62">
            <v>1.63</v>
          </cell>
          <cell r="F62">
            <v>1.645</v>
          </cell>
          <cell r="G62">
            <v>1.81</v>
          </cell>
          <cell r="H62">
            <v>106.12</v>
          </cell>
        </row>
        <row r="64">
          <cell r="B64" t="str">
            <v>f. Trade  Investments</v>
          </cell>
          <cell r="C64">
            <v>0</v>
          </cell>
          <cell r="D64">
            <v>0</v>
          </cell>
          <cell r="E64">
            <v>0</v>
          </cell>
          <cell r="F64">
            <v>0</v>
          </cell>
          <cell r="G64">
            <v>0</v>
          </cell>
          <cell r="H64">
            <v>0</v>
          </cell>
        </row>
        <row r="65">
          <cell r="C65" t="str">
            <v>-</v>
          </cell>
          <cell r="D65" t="str">
            <v>-</v>
          </cell>
          <cell r="E65" t="str">
            <v>-</v>
          </cell>
          <cell r="F65" t="str">
            <v>-</v>
          </cell>
          <cell r="G65" t="str">
            <v>-</v>
          </cell>
          <cell r="H65" t="str">
            <v>-</v>
          </cell>
        </row>
        <row r="66">
          <cell r="C66">
            <v>194.73</v>
          </cell>
          <cell r="D66">
            <v>299.09000000000003</v>
          </cell>
          <cell r="E66">
            <v>429.56000000000006</v>
          </cell>
          <cell r="F66">
            <v>233.9</v>
          </cell>
          <cell r="G66">
            <v>333.69</v>
          </cell>
          <cell r="H66">
            <v>567.68000000000006</v>
          </cell>
        </row>
        <row r="68">
          <cell r="B68" t="str">
            <v>Less: Current  Liabilities</v>
          </cell>
          <cell r="C68">
            <v>35.5</v>
          </cell>
          <cell r="D68">
            <v>31.48</v>
          </cell>
          <cell r="E68">
            <v>33.119999999999997</v>
          </cell>
          <cell r="F68">
            <v>28.53</v>
          </cell>
          <cell r="G68">
            <v>86.375</v>
          </cell>
          <cell r="H68">
            <v>66.83</v>
          </cell>
        </row>
        <row r="69">
          <cell r="C69" t="str">
            <v>-</v>
          </cell>
          <cell r="D69" t="str">
            <v>-</v>
          </cell>
          <cell r="E69" t="str">
            <v>-</v>
          </cell>
          <cell r="F69" t="str">
            <v>-</v>
          </cell>
          <cell r="G69" t="str">
            <v>-</v>
          </cell>
          <cell r="H69" t="str">
            <v>-</v>
          </cell>
        </row>
        <row r="70">
          <cell r="B70" t="str">
            <v>Net  Current  Assets</v>
          </cell>
          <cell r="C70">
            <v>159.22999999999999</v>
          </cell>
          <cell r="D70">
            <v>267.61</v>
          </cell>
          <cell r="E70">
            <v>396.44000000000005</v>
          </cell>
          <cell r="F70">
            <v>205.37</v>
          </cell>
          <cell r="G70">
            <v>247.315</v>
          </cell>
          <cell r="H70">
            <v>500.85000000000008</v>
          </cell>
        </row>
        <row r="72">
          <cell r="B72" t="str">
            <v>Miscellaneous Expenditure</v>
          </cell>
          <cell r="C72">
            <v>0</v>
          </cell>
          <cell r="D72">
            <v>0</v>
          </cell>
          <cell r="E72">
            <v>0</v>
          </cell>
          <cell r="F72">
            <v>0</v>
          </cell>
          <cell r="G72">
            <v>0</v>
          </cell>
          <cell r="H72">
            <v>0</v>
          </cell>
        </row>
        <row r="74">
          <cell r="B74" t="str">
            <v>(to the extent not written off or adjusted)</v>
          </cell>
        </row>
        <row r="76">
          <cell r="B76" t="str">
            <v>Preliminary  Expenses</v>
          </cell>
          <cell r="C76">
            <v>0</v>
          </cell>
          <cell r="D76">
            <v>0</v>
          </cell>
          <cell r="E76">
            <v>0</v>
          </cell>
          <cell r="F76">
            <v>0</v>
          </cell>
          <cell r="G76">
            <v>0</v>
          </cell>
          <cell r="H76">
            <v>0</v>
          </cell>
        </row>
        <row r="78">
          <cell r="B78" t="str">
            <v>Deferred  Revenue  Expenditure</v>
          </cell>
          <cell r="C78">
            <v>0</v>
          </cell>
          <cell r="D78">
            <v>0</v>
          </cell>
          <cell r="E78">
            <v>0</v>
          </cell>
          <cell r="F78">
            <v>0</v>
          </cell>
          <cell r="G78">
            <v>0</v>
          </cell>
          <cell r="H78">
            <v>0</v>
          </cell>
        </row>
        <row r="80">
          <cell r="C80" t="str">
            <v>-</v>
          </cell>
          <cell r="D80" t="str">
            <v>-</v>
          </cell>
          <cell r="E80" t="str">
            <v>-</v>
          </cell>
          <cell r="F80" t="str">
            <v>-</v>
          </cell>
          <cell r="G80" t="str">
            <v>-</v>
          </cell>
          <cell r="H80" t="str">
            <v>-</v>
          </cell>
        </row>
        <row r="81">
          <cell r="B81" t="str">
            <v>TOTAL….</v>
          </cell>
          <cell r="C81">
            <v>502.48</v>
          </cell>
          <cell r="D81">
            <v>742.86</v>
          </cell>
          <cell r="E81">
            <v>793.3900000000001</v>
          </cell>
          <cell r="F81">
            <v>475.53999999999996</v>
          </cell>
          <cell r="G81">
            <v>795.68499999999995</v>
          </cell>
          <cell r="H81">
            <v>1784.9340000000002</v>
          </cell>
        </row>
        <row r="82">
          <cell r="C82" t="str">
            <v>=</v>
          </cell>
          <cell r="D82" t="str">
            <v>=</v>
          </cell>
          <cell r="E82" t="str">
            <v>=</v>
          </cell>
          <cell r="F82" t="str">
            <v>=</v>
          </cell>
          <cell r="G82" t="str">
            <v>=</v>
          </cell>
          <cell r="H82" t="str">
            <v>=</v>
          </cell>
        </row>
        <row r="87">
          <cell r="B87" t="str">
            <v>PROFIT  AND  LOSS  ACCOUNT  FOR  LAST SIX YEARS</v>
          </cell>
        </row>
        <row r="89">
          <cell r="B89" t="str">
            <v>-</v>
          </cell>
          <cell r="C89" t="str">
            <v>-</v>
          </cell>
          <cell r="D89" t="str">
            <v>-</v>
          </cell>
          <cell r="E89" t="str">
            <v>-</v>
          </cell>
          <cell r="F89" t="str">
            <v>-</v>
          </cell>
          <cell r="G89" t="str">
            <v>-</v>
          </cell>
          <cell r="H89" t="str">
            <v>-</v>
          </cell>
          <cell r="I89" t="str">
            <v>-</v>
          </cell>
          <cell r="J89" t="str">
            <v>-</v>
          </cell>
          <cell r="K89" t="str">
            <v>-</v>
          </cell>
          <cell r="L89" t="str">
            <v>-</v>
          </cell>
          <cell r="M89" t="str">
            <v>-</v>
          </cell>
          <cell r="N89" t="str">
            <v>-</v>
          </cell>
        </row>
        <row r="90">
          <cell r="B90" t="str">
            <v>PARTICULARS</v>
          </cell>
          <cell r="C90" t="str">
            <v>%</v>
          </cell>
          <cell r="D90" t="str">
            <v>1997-98</v>
          </cell>
          <cell r="E90" t="str">
            <v>%</v>
          </cell>
          <cell r="F90" t="str">
            <v>1998-99</v>
          </cell>
          <cell r="G90" t="str">
            <v>%</v>
          </cell>
          <cell r="H90" t="str">
            <v>1999-00</v>
          </cell>
          <cell r="I90" t="str">
            <v>%</v>
          </cell>
          <cell r="J90" t="str">
            <v>2000-01</v>
          </cell>
          <cell r="K90" t="str">
            <v>%</v>
          </cell>
          <cell r="L90" t="str">
            <v>2001-02</v>
          </cell>
          <cell r="M90" t="str">
            <v>%</v>
          </cell>
          <cell r="N90" t="str">
            <v>2002-03</v>
          </cell>
        </row>
        <row r="91">
          <cell r="B91" t="str">
            <v>-</v>
          </cell>
          <cell r="C91" t="str">
            <v>-</v>
          </cell>
          <cell r="D91" t="str">
            <v>-</v>
          </cell>
          <cell r="E91" t="str">
            <v>-</v>
          </cell>
          <cell r="F91" t="str">
            <v>-</v>
          </cell>
          <cell r="G91" t="str">
            <v>-</v>
          </cell>
          <cell r="H91" t="str">
            <v>-</v>
          </cell>
          <cell r="I91" t="str">
            <v>-</v>
          </cell>
          <cell r="J91" t="str">
            <v>-</v>
          </cell>
          <cell r="K91" t="str">
            <v>-</v>
          </cell>
          <cell r="L91" t="str">
            <v>-</v>
          </cell>
          <cell r="M91" t="str">
            <v>-</v>
          </cell>
          <cell r="N91" t="str">
            <v>-</v>
          </cell>
        </row>
        <row r="92">
          <cell r="B92" t="str">
            <v>INCOME</v>
          </cell>
        </row>
        <row r="94">
          <cell r="B94" t="str">
            <v>Sales</v>
          </cell>
          <cell r="D94">
            <v>1364.28</v>
          </cell>
          <cell r="F94">
            <v>1093.98</v>
          </cell>
          <cell r="H94">
            <v>2217.7800000000002</v>
          </cell>
          <cell r="J94">
            <v>2628.58</v>
          </cell>
          <cell r="L94">
            <v>3089.9</v>
          </cell>
          <cell r="N94">
            <v>4555.9579999999996</v>
          </cell>
        </row>
        <row r="96">
          <cell r="B96" t="str">
            <v xml:space="preserve">Other  Income </v>
          </cell>
          <cell r="D96">
            <v>0</v>
          </cell>
          <cell r="F96">
            <v>0.04</v>
          </cell>
          <cell r="H96">
            <v>3.14</v>
          </cell>
          <cell r="J96">
            <v>0.33</v>
          </cell>
          <cell r="L96">
            <v>0.09</v>
          </cell>
          <cell r="N96">
            <v>0.09</v>
          </cell>
        </row>
        <row r="98">
          <cell r="B98" t="str">
            <v>Increase/(Decrease)  in Stocks</v>
          </cell>
          <cell r="D98">
            <v>15.22</v>
          </cell>
          <cell r="F98">
            <v>12.21</v>
          </cell>
          <cell r="H98">
            <v>1.32</v>
          </cell>
          <cell r="J98">
            <v>8.74</v>
          </cell>
          <cell r="L98">
            <v>21.32</v>
          </cell>
          <cell r="N98">
            <v>210.63900000000001</v>
          </cell>
        </row>
        <row r="99">
          <cell r="C99" t="str">
            <v>-</v>
          </cell>
          <cell r="D99" t="str">
            <v>-</v>
          </cell>
          <cell r="E99" t="str">
            <v>-</v>
          </cell>
          <cell r="F99" t="str">
            <v>-</v>
          </cell>
          <cell r="G99" t="str">
            <v>-</v>
          </cell>
          <cell r="H99" t="str">
            <v>-</v>
          </cell>
          <cell r="I99" t="str">
            <v>-</v>
          </cell>
          <cell r="J99" t="str">
            <v>-</v>
          </cell>
          <cell r="K99" t="str">
            <v>-</v>
          </cell>
          <cell r="L99" t="str">
            <v>-</v>
          </cell>
          <cell r="M99" t="str">
            <v>-</v>
          </cell>
          <cell r="N99" t="str">
            <v>-</v>
          </cell>
        </row>
        <row r="100">
          <cell r="B100" t="str">
            <v>TOTAL  INCOME</v>
          </cell>
          <cell r="C100">
            <v>1</v>
          </cell>
          <cell r="D100">
            <v>1379.5</v>
          </cell>
          <cell r="E100">
            <v>1</v>
          </cell>
          <cell r="F100">
            <v>1106.23</v>
          </cell>
          <cell r="G100">
            <v>1</v>
          </cell>
          <cell r="H100">
            <v>2222.2400000000002</v>
          </cell>
          <cell r="I100">
            <v>1</v>
          </cell>
          <cell r="J100">
            <v>2637.6499999999996</v>
          </cell>
          <cell r="K100">
            <v>1</v>
          </cell>
          <cell r="L100">
            <v>3111.3100000000004</v>
          </cell>
          <cell r="M100">
            <v>1</v>
          </cell>
          <cell r="N100">
            <v>4766.6869999999999</v>
          </cell>
        </row>
        <row r="101">
          <cell r="C101" t="str">
            <v>-</v>
          </cell>
          <cell r="D101" t="str">
            <v>-</v>
          </cell>
          <cell r="E101" t="str">
            <v>-</v>
          </cell>
          <cell r="F101" t="str">
            <v>-</v>
          </cell>
          <cell r="G101" t="str">
            <v>-</v>
          </cell>
          <cell r="H101" t="str">
            <v>-</v>
          </cell>
          <cell r="I101" t="str">
            <v>-</v>
          </cell>
          <cell r="J101" t="str">
            <v>-</v>
          </cell>
          <cell r="K101" t="str">
            <v>-</v>
          </cell>
          <cell r="L101" t="str">
            <v>-</v>
          </cell>
          <cell r="M101" t="str">
            <v>-</v>
          </cell>
          <cell r="N101" t="str">
            <v>-</v>
          </cell>
        </row>
        <row r="103">
          <cell r="B103" t="str">
            <v>EXPENDITURE</v>
          </cell>
        </row>
        <row r="105">
          <cell r="B105" t="str">
            <v>Raw  Material  Consumed   Including</v>
          </cell>
          <cell r="C105">
            <v>0.7819479159115621</v>
          </cell>
          <cell r="D105">
            <v>1078.69715</v>
          </cell>
          <cell r="E105">
            <v>0.75757842401670539</v>
          </cell>
          <cell r="F105">
            <v>838.05597999999998</v>
          </cell>
          <cell r="G105">
            <v>0.81363849089207274</v>
          </cell>
          <cell r="H105">
            <v>1808.1</v>
          </cell>
          <cell r="I105">
            <v>0.81777339677364336</v>
          </cell>
          <cell r="J105">
            <v>2157</v>
          </cell>
          <cell r="K105">
            <v>0.81512610443832323</v>
          </cell>
          <cell r="L105">
            <v>2536.1099999999997</v>
          </cell>
          <cell r="M105">
            <v>0.81766371486107647</v>
          </cell>
          <cell r="N105">
            <v>3897.547</v>
          </cell>
        </row>
        <row r="106">
          <cell r="B106" t="str">
            <v>Excise  Duty</v>
          </cell>
        </row>
        <row r="107">
          <cell r="C107">
            <v>0</v>
          </cell>
          <cell r="E107">
            <v>0</v>
          </cell>
          <cell r="G107">
            <v>0</v>
          </cell>
          <cell r="I107">
            <v>0</v>
          </cell>
          <cell r="K107">
            <v>0</v>
          </cell>
          <cell r="M107">
            <v>0</v>
          </cell>
        </row>
        <row r="108">
          <cell r="B108" t="str">
            <v>Power &amp; Fuel</v>
          </cell>
          <cell r="C108">
            <v>4.4102935846321134E-2</v>
          </cell>
          <cell r="D108">
            <v>60.84</v>
          </cell>
          <cell r="E108">
            <v>5.2819034016434195E-2</v>
          </cell>
          <cell r="F108">
            <v>58.43</v>
          </cell>
          <cell r="G108">
            <v>5.3342573259413925E-2</v>
          </cell>
          <cell r="H108">
            <v>118.54</v>
          </cell>
          <cell r="I108">
            <v>4.1286751464371704E-2</v>
          </cell>
          <cell r="J108">
            <v>108.9</v>
          </cell>
          <cell r="K108">
            <v>5.245378956131018E-2</v>
          </cell>
          <cell r="L108">
            <v>163.19999999999999</v>
          </cell>
          <cell r="M108">
            <v>4.1888632503036177E-2</v>
          </cell>
          <cell r="N108">
            <v>199.67</v>
          </cell>
        </row>
        <row r="109">
          <cell r="G109">
            <v>0</v>
          </cell>
          <cell r="I109">
            <v>0</v>
          </cell>
          <cell r="K109">
            <v>0</v>
          </cell>
          <cell r="M109">
            <v>0</v>
          </cell>
        </row>
        <row r="110">
          <cell r="B110" t="str">
            <v>Other  Manufacturing   Expenses</v>
          </cell>
          <cell r="C110">
            <v>2.0674157303370782E-2</v>
          </cell>
          <cell r="D110">
            <v>28.519999999999996</v>
          </cell>
          <cell r="E110">
            <v>3.52458349529483E-2</v>
          </cell>
          <cell r="F110">
            <v>38.99</v>
          </cell>
          <cell r="G110">
            <v>4.5868133054935555E-2</v>
          </cell>
          <cell r="H110">
            <v>101.92999999999999</v>
          </cell>
          <cell r="I110">
            <v>5.6815726119841529E-2</v>
          </cell>
          <cell r="J110">
            <v>149.85999999999999</v>
          </cell>
          <cell r="K110">
            <v>3.9562113707730835E-2</v>
          </cell>
          <cell r="L110">
            <v>123.09000000000003</v>
          </cell>
          <cell r="M110">
            <v>5.1957680460244196E-2</v>
          </cell>
          <cell r="N110">
            <v>247.66600000000003</v>
          </cell>
        </row>
        <row r="111">
          <cell r="C111">
            <v>0</v>
          </cell>
          <cell r="E111">
            <v>0</v>
          </cell>
          <cell r="G111">
            <v>0</v>
          </cell>
          <cell r="I111">
            <v>0</v>
          </cell>
          <cell r="K111">
            <v>0</v>
          </cell>
          <cell r="M111">
            <v>0</v>
          </cell>
        </row>
        <row r="112">
          <cell r="B112" t="str">
            <v>Payment  To  Employees</v>
          </cell>
          <cell r="C112">
            <v>1.1888365349764406E-2</v>
          </cell>
          <cell r="D112">
            <v>16.399999999999999</v>
          </cell>
          <cell r="E112">
            <v>1.317085958616201E-2</v>
          </cell>
          <cell r="F112">
            <v>14.57</v>
          </cell>
          <cell r="G112">
            <v>5.1524587803297569E-3</v>
          </cell>
          <cell r="H112">
            <v>11.45</v>
          </cell>
          <cell r="I112">
            <v>5.5124827024055512E-3</v>
          </cell>
          <cell r="J112">
            <v>14.54</v>
          </cell>
          <cell r="K112">
            <v>6.6885009851155933E-3</v>
          </cell>
          <cell r="L112">
            <v>20.81</v>
          </cell>
          <cell r="M112">
            <v>1.1678971159633516E-2</v>
          </cell>
          <cell r="N112">
            <v>55.67</v>
          </cell>
        </row>
        <row r="113">
          <cell r="C113">
            <v>0</v>
          </cell>
          <cell r="E113">
            <v>0</v>
          </cell>
          <cell r="G113">
            <v>0</v>
          </cell>
          <cell r="I113">
            <v>0</v>
          </cell>
          <cell r="K113">
            <v>0</v>
          </cell>
          <cell r="M113">
            <v>0</v>
          </cell>
        </row>
        <row r="114">
          <cell r="B114" t="str">
            <v xml:space="preserve"> Administration   Exp.</v>
          </cell>
          <cell r="C114">
            <v>8.4475824574121051E-3</v>
          </cell>
          <cell r="D114">
            <v>11.65344</v>
          </cell>
          <cell r="E114">
            <v>8.2442168445983188E-3</v>
          </cell>
          <cell r="F114">
            <v>9.1199999999999992</v>
          </cell>
          <cell r="G114">
            <v>3.3344733242134062E-3</v>
          </cell>
          <cell r="H114">
            <v>7.410000000000001</v>
          </cell>
          <cell r="I114">
            <v>7.0289841336037768E-3</v>
          </cell>
          <cell r="J114">
            <v>18.54</v>
          </cell>
          <cell r="K114">
            <v>8.7165856182765452E-3</v>
          </cell>
          <cell r="L114">
            <v>27.12</v>
          </cell>
          <cell r="M114">
            <v>5.0683000583004508E-3</v>
          </cell>
          <cell r="N114">
            <v>24.158999999999999</v>
          </cell>
        </row>
        <row r="115">
          <cell r="G115">
            <v>0</v>
          </cell>
          <cell r="I115">
            <v>0</v>
          </cell>
          <cell r="K115">
            <v>0</v>
          </cell>
          <cell r="M115">
            <v>0</v>
          </cell>
        </row>
        <row r="116">
          <cell r="B116" t="str">
            <v>Selling  &amp;  Distribution   Exp.</v>
          </cell>
          <cell r="C116">
            <v>6.1664081188836537E-3</v>
          </cell>
          <cell r="D116">
            <v>8.5065600000000003</v>
          </cell>
          <cell r="E116">
            <v>7.1775308932138879E-3</v>
          </cell>
          <cell r="F116">
            <v>7.9399999999999995</v>
          </cell>
          <cell r="G116">
            <v>5.1749586003311968E-4</v>
          </cell>
          <cell r="H116">
            <v>1.1499999999999999</v>
          </cell>
          <cell r="I116">
            <v>0</v>
          </cell>
          <cell r="J116">
            <v>0</v>
          </cell>
          <cell r="K116">
            <v>0</v>
          </cell>
          <cell r="L116">
            <v>0</v>
          </cell>
          <cell r="M116">
            <v>0</v>
          </cell>
          <cell r="N116">
            <v>0</v>
          </cell>
        </row>
        <row r="117">
          <cell r="C117">
            <v>0</v>
          </cell>
          <cell r="E117">
            <v>0</v>
          </cell>
          <cell r="G117">
            <v>0</v>
          </cell>
          <cell r="I117">
            <v>0</v>
          </cell>
          <cell r="K117">
            <v>0</v>
          </cell>
          <cell r="M117">
            <v>0</v>
          </cell>
        </row>
        <row r="118">
          <cell r="B118" t="str">
            <v>Interest &amp; Finance Expenses</v>
          </cell>
          <cell r="C118">
            <v>4.29720913374411E-2</v>
          </cell>
          <cell r="D118">
            <v>59.28</v>
          </cell>
          <cell r="E118">
            <v>4.2757835169901372E-2</v>
          </cell>
          <cell r="F118">
            <v>47.3</v>
          </cell>
          <cell r="G118">
            <v>3.2512239902080776E-2</v>
          </cell>
          <cell r="H118">
            <v>72.25</v>
          </cell>
          <cell r="I118">
            <v>1.9987488863192616E-2</v>
          </cell>
          <cell r="J118">
            <v>52.72</v>
          </cell>
          <cell r="K118">
            <v>1.4428006209603028E-2</v>
          </cell>
          <cell r="L118">
            <v>44.89</v>
          </cell>
          <cell r="M118">
            <v>1.3872528236068365E-2</v>
          </cell>
          <cell r="N118">
            <v>66.126000000000005</v>
          </cell>
        </row>
        <row r="119">
          <cell r="C119">
            <v>0</v>
          </cell>
          <cell r="E119">
            <v>0</v>
          </cell>
          <cell r="G119">
            <v>0</v>
          </cell>
          <cell r="I119">
            <v>0</v>
          </cell>
          <cell r="K119">
            <v>0</v>
          </cell>
          <cell r="M119">
            <v>0</v>
          </cell>
        </row>
        <row r="120">
          <cell r="B120" t="str">
            <v>Depreciation</v>
          </cell>
          <cell r="C120">
            <v>1.1591156216020297E-2</v>
          </cell>
          <cell r="D120">
            <v>15.99</v>
          </cell>
          <cell r="E120">
            <v>1.5774296484456215E-2</v>
          </cell>
          <cell r="F120">
            <v>17.45</v>
          </cell>
          <cell r="G120">
            <v>1.0781913744690041E-2</v>
          </cell>
          <cell r="H120">
            <v>23.96</v>
          </cell>
          <cell r="I120">
            <v>1.7832161204102137E-2</v>
          </cell>
          <cell r="J120">
            <v>47.034999999999997</v>
          </cell>
          <cell r="K120">
            <v>2.3851368073255316E-2</v>
          </cell>
          <cell r="L120">
            <v>74.209000000000003</v>
          </cell>
          <cell r="M120">
            <v>1.2587358893084443E-2</v>
          </cell>
          <cell r="N120">
            <v>60</v>
          </cell>
        </row>
        <row r="121">
          <cell r="C121">
            <v>0</v>
          </cell>
          <cell r="E121">
            <v>0</v>
          </cell>
          <cell r="G121">
            <v>0</v>
          </cell>
          <cell r="I121">
            <v>0</v>
          </cell>
          <cell r="K121">
            <v>0</v>
          </cell>
          <cell r="M121">
            <v>0</v>
          </cell>
        </row>
        <row r="122">
          <cell r="B122" t="str">
            <v>Preliminary Expenses w/off</v>
          </cell>
          <cell r="C122">
            <v>0</v>
          </cell>
          <cell r="D122">
            <v>0</v>
          </cell>
          <cell r="E122">
            <v>0</v>
          </cell>
          <cell r="F122">
            <v>0</v>
          </cell>
          <cell r="G122">
            <v>0</v>
          </cell>
          <cell r="H122">
            <v>0</v>
          </cell>
          <cell r="I122">
            <v>0</v>
          </cell>
          <cell r="J122">
            <v>0</v>
          </cell>
          <cell r="K122">
            <v>0</v>
          </cell>
          <cell r="L122">
            <v>0</v>
          </cell>
          <cell r="M122">
            <v>0</v>
          </cell>
          <cell r="N122">
            <v>0</v>
          </cell>
        </row>
        <row r="123">
          <cell r="C123">
            <v>0</v>
          </cell>
          <cell r="E123">
            <v>0</v>
          </cell>
          <cell r="G123">
            <v>0</v>
          </cell>
          <cell r="I123">
            <v>0</v>
          </cell>
          <cell r="K123">
            <v>0</v>
          </cell>
          <cell r="M123">
            <v>0</v>
          </cell>
        </row>
        <row r="124">
          <cell r="C124">
            <v>0</v>
          </cell>
          <cell r="D124" t="str">
            <v>-</v>
          </cell>
          <cell r="E124">
            <v>0</v>
          </cell>
          <cell r="F124" t="str">
            <v>-</v>
          </cell>
          <cell r="G124">
            <v>0</v>
          </cell>
          <cell r="H124" t="str">
            <v>-</v>
          </cell>
          <cell r="I124">
            <v>0</v>
          </cell>
          <cell r="J124" t="str">
            <v>-</v>
          </cell>
          <cell r="K124">
            <v>0</v>
          </cell>
          <cell r="L124" t="str">
            <v>-</v>
          </cell>
          <cell r="M124">
            <v>0</v>
          </cell>
          <cell r="N124" t="str">
            <v>-</v>
          </cell>
        </row>
        <row r="125">
          <cell r="B125" t="str">
            <v>TOTAL  EXPENDITURE</v>
          </cell>
          <cell r="C125">
            <v>0.92779061254077566</v>
          </cell>
          <cell r="D125">
            <v>1279.88715</v>
          </cell>
          <cell r="E125">
            <v>0.93276803196441971</v>
          </cell>
          <cell r="F125">
            <v>1031.85598</v>
          </cell>
          <cell r="G125">
            <v>0.96514777881776936</v>
          </cell>
          <cell r="H125">
            <v>2144.79</v>
          </cell>
          <cell r="I125">
            <v>0.96623699126116058</v>
          </cell>
          <cell r="J125">
            <v>2548.5949999999998</v>
          </cell>
          <cell r="K125">
            <v>0.96082646859361454</v>
          </cell>
          <cell r="L125">
            <v>2989.4289999999992</v>
          </cell>
          <cell r="M125">
            <v>0.95471718617144352</v>
          </cell>
          <cell r="N125">
            <v>4550.8379999999997</v>
          </cell>
        </row>
        <row r="126">
          <cell r="C126">
            <v>0</v>
          </cell>
          <cell r="D126" t="str">
            <v>-</v>
          </cell>
          <cell r="E126">
            <v>0</v>
          </cell>
          <cell r="F126" t="str">
            <v>-</v>
          </cell>
          <cell r="G126">
            <v>0</v>
          </cell>
          <cell r="H126" t="str">
            <v>-</v>
          </cell>
          <cell r="I126">
            <v>0</v>
          </cell>
          <cell r="J126" t="str">
            <v>-</v>
          </cell>
          <cell r="K126">
            <v>0</v>
          </cell>
          <cell r="L126" t="str">
            <v>-</v>
          </cell>
          <cell r="M126">
            <v>0</v>
          </cell>
          <cell r="N126" t="str">
            <v>-</v>
          </cell>
        </row>
        <row r="127">
          <cell r="B127" t="str">
            <v>Profit/ Loss Before Tax</v>
          </cell>
          <cell r="C127">
            <v>7.2209387459224339E-2</v>
          </cell>
          <cell r="D127">
            <v>99.61284999999998</v>
          </cell>
          <cell r="E127">
            <v>6.7231968035580278E-2</v>
          </cell>
          <cell r="F127">
            <v>74.374019999999973</v>
          </cell>
          <cell r="G127">
            <v>3.4852221182230664E-2</v>
          </cell>
          <cell r="H127">
            <v>77.450000000000273</v>
          </cell>
          <cell r="I127">
            <v>3.3763008738839438E-2</v>
          </cell>
          <cell r="J127">
            <v>89.054999999999836</v>
          </cell>
          <cell r="K127">
            <v>3.9173531406385478E-2</v>
          </cell>
          <cell r="L127">
            <v>121.88100000000122</v>
          </cell>
          <cell r="M127">
            <v>4.528281382855643E-2</v>
          </cell>
          <cell r="N127">
            <v>215.84900000000016</v>
          </cell>
        </row>
        <row r="128">
          <cell r="C128">
            <v>0</v>
          </cell>
          <cell r="E128">
            <v>0</v>
          </cell>
          <cell r="G128">
            <v>0</v>
          </cell>
          <cell r="I128">
            <v>0</v>
          </cell>
          <cell r="K128">
            <v>0</v>
          </cell>
          <cell r="M128">
            <v>0</v>
          </cell>
        </row>
        <row r="129">
          <cell r="B129" t="str">
            <v>Less: Provision For  Taxation</v>
          </cell>
          <cell r="C129">
            <v>0</v>
          </cell>
          <cell r="D129">
            <v>0</v>
          </cell>
          <cell r="E129">
            <v>0</v>
          </cell>
          <cell r="F129">
            <v>0</v>
          </cell>
          <cell r="G129">
            <v>0</v>
          </cell>
          <cell r="H129">
            <v>0</v>
          </cell>
          <cell r="I129">
            <v>8.3407578715902425E-5</v>
          </cell>
          <cell r="J129">
            <v>0.22</v>
          </cell>
          <cell r="K129">
            <v>2.9730242245227891E-3</v>
          </cell>
          <cell r="L129">
            <v>9.25</v>
          </cell>
          <cell r="M129">
            <v>0</v>
          </cell>
          <cell r="N129">
            <v>0</v>
          </cell>
        </row>
        <row r="130">
          <cell r="C130">
            <v>0</v>
          </cell>
          <cell r="E130">
            <v>0</v>
          </cell>
          <cell r="G130">
            <v>0</v>
          </cell>
          <cell r="I130">
            <v>0</v>
          </cell>
          <cell r="K130">
            <v>0</v>
          </cell>
          <cell r="M130">
            <v>0</v>
          </cell>
        </row>
        <row r="131">
          <cell r="B131" t="str">
            <v xml:space="preserve"> Add: ( Depreciation written  back) / written off </v>
          </cell>
          <cell r="C131">
            <v>0</v>
          </cell>
          <cell r="D131">
            <v>0</v>
          </cell>
          <cell r="E131">
            <v>0</v>
          </cell>
          <cell r="F131">
            <v>0</v>
          </cell>
          <cell r="G131">
            <v>0</v>
          </cell>
          <cell r="H131">
            <v>0</v>
          </cell>
          <cell r="I131">
            <v>-3.2801925956817628E-2</v>
          </cell>
          <cell r="J131">
            <v>-86.52</v>
          </cell>
          <cell r="K131">
            <v>0</v>
          </cell>
          <cell r="L131">
            <v>0</v>
          </cell>
          <cell r="M131">
            <v>-3.566418353040592E-3</v>
          </cell>
          <cell r="N131">
            <v>-17</v>
          </cell>
        </row>
        <row r="132">
          <cell r="C132">
            <v>0</v>
          </cell>
          <cell r="D132" t="str">
            <v>-</v>
          </cell>
          <cell r="E132">
            <v>0</v>
          </cell>
          <cell r="F132" t="str">
            <v>-</v>
          </cell>
          <cell r="G132">
            <v>0</v>
          </cell>
          <cell r="H132" t="str">
            <v>-</v>
          </cell>
          <cell r="I132">
            <v>0</v>
          </cell>
          <cell r="J132" t="str">
            <v>-</v>
          </cell>
          <cell r="K132">
            <v>0</v>
          </cell>
          <cell r="L132" t="str">
            <v>-</v>
          </cell>
          <cell r="M132">
            <v>0</v>
          </cell>
          <cell r="N132" t="str">
            <v>-</v>
          </cell>
        </row>
        <row r="133">
          <cell r="B133" t="str">
            <v>Profit/Loss After  Taxation</v>
          </cell>
          <cell r="C133">
            <v>7.2209387459224339E-2</v>
          </cell>
          <cell r="D133">
            <v>99.61284999999998</v>
          </cell>
          <cell r="E133">
            <v>6.7231968035580278E-2</v>
          </cell>
          <cell r="F133">
            <v>74.374019999999973</v>
          </cell>
          <cell r="G133">
            <v>3.4852221182230664E-2</v>
          </cell>
          <cell r="H133">
            <v>77.450000000000273</v>
          </cell>
          <cell r="I133">
            <v>8.7767520330591308E-4</v>
          </cell>
          <cell r="J133">
            <v>2.3149999999998414</v>
          </cell>
          <cell r="K133">
            <v>3.6200507181862691E-2</v>
          </cell>
          <cell r="L133">
            <v>112.63100000000122</v>
          </cell>
          <cell r="M133">
            <v>4.1716395475515838E-2</v>
          </cell>
          <cell r="N133">
            <v>198.84900000000016</v>
          </cell>
        </row>
        <row r="134">
          <cell r="I134">
            <v>0</v>
          </cell>
        </row>
        <row r="135">
          <cell r="B135" t="str">
            <v xml:space="preserve">Balance  b/f from Previous Year </v>
          </cell>
          <cell r="D135">
            <v>0</v>
          </cell>
          <cell r="F135">
            <v>71.61284999999998</v>
          </cell>
          <cell r="H135">
            <v>119.78686999999996</v>
          </cell>
          <cell r="J135">
            <v>170.70687000000024</v>
          </cell>
          <cell r="L135">
            <v>168.6078700000001</v>
          </cell>
          <cell r="N135">
            <v>267.96887000000135</v>
          </cell>
        </row>
        <row r="136">
          <cell r="C136">
            <v>0</v>
          </cell>
          <cell r="D136" t="str">
            <v>-</v>
          </cell>
          <cell r="E136">
            <v>0</v>
          </cell>
          <cell r="F136" t="str">
            <v>-</v>
          </cell>
          <cell r="G136">
            <v>0</v>
          </cell>
          <cell r="H136" t="str">
            <v>-</v>
          </cell>
          <cell r="I136">
            <v>0</v>
          </cell>
          <cell r="J136" t="str">
            <v>-</v>
          </cell>
          <cell r="K136">
            <v>0</v>
          </cell>
          <cell r="L136" t="str">
            <v>-</v>
          </cell>
          <cell r="M136">
            <v>0</v>
          </cell>
          <cell r="N136" t="str">
            <v>-</v>
          </cell>
        </row>
        <row r="137">
          <cell r="B137" t="str">
            <v>BALANCE AVAILABLE FOR APPROPRIATION</v>
          </cell>
          <cell r="D137">
            <v>99.61284999999998</v>
          </cell>
          <cell r="F137">
            <v>145.98686999999995</v>
          </cell>
          <cell r="H137">
            <v>197.23687000000024</v>
          </cell>
          <cell r="J137">
            <v>173.02187000000009</v>
          </cell>
          <cell r="L137">
            <v>281.23887000000133</v>
          </cell>
          <cell r="N137">
            <v>466.81787000000151</v>
          </cell>
        </row>
        <row r="138">
          <cell r="C138">
            <v>0</v>
          </cell>
          <cell r="D138" t="str">
            <v>=</v>
          </cell>
          <cell r="E138">
            <v>0</v>
          </cell>
          <cell r="F138" t="str">
            <v>=</v>
          </cell>
          <cell r="G138">
            <v>0</v>
          </cell>
          <cell r="H138" t="str">
            <v>=</v>
          </cell>
          <cell r="I138">
            <v>0</v>
          </cell>
          <cell r="J138" t="str">
            <v>=</v>
          </cell>
          <cell r="K138">
            <v>0</v>
          </cell>
          <cell r="L138" t="str">
            <v>=</v>
          </cell>
          <cell r="M138">
            <v>0</v>
          </cell>
          <cell r="N138" t="str">
            <v>=</v>
          </cell>
        </row>
        <row r="139">
          <cell r="B139" t="str">
            <v>APPROPRIATIONS</v>
          </cell>
        </row>
        <row r="141">
          <cell r="B141" t="str">
            <v>Total  Dividend</v>
          </cell>
          <cell r="C141">
            <v>0.54995417048579287</v>
          </cell>
          <cell r="D141">
            <v>18</v>
          </cell>
          <cell r="E141">
            <v>0.4598353675844451</v>
          </cell>
          <cell r="F141">
            <v>16.2</v>
          </cell>
          <cell r="G141">
            <v>0.41243258586432019</v>
          </cell>
          <cell r="H141">
            <v>14.53</v>
          </cell>
          <cell r="I141">
            <v>0</v>
          </cell>
          <cell r="J141">
            <v>0</v>
          </cell>
          <cell r="K141">
            <v>9.9908340971585713E-2</v>
          </cell>
          <cell r="L141">
            <v>3.27</v>
          </cell>
          <cell r="M141">
            <v>0</v>
          </cell>
          <cell r="N141">
            <v>0</v>
          </cell>
        </row>
        <row r="142">
          <cell r="B142" t="str">
            <v>Interim  Dividend</v>
          </cell>
          <cell r="D142">
            <v>8.18</v>
          </cell>
          <cell r="F142">
            <v>14.73</v>
          </cell>
          <cell r="H142">
            <v>13.09</v>
          </cell>
          <cell r="J142">
            <v>0</v>
          </cell>
          <cell r="L142">
            <v>3.27</v>
          </cell>
          <cell r="N142">
            <v>0</v>
          </cell>
        </row>
        <row r="144">
          <cell r="B144" t="str">
            <v xml:space="preserve">Proposed Dividend </v>
          </cell>
          <cell r="C144">
            <v>0</v>
          </cell>
          <cell r="D144">
            <v>8.18</v>
          </cell>
          <cell r="F144">
            <v>0</v>
          </cell>
          <cell r="H144">
            <v>0</v>
          </cell>
          <cell r="J144">
            <v>0</v>
          </cell>
          <cell r="L144">
            <v>0</v>
          </cell>
          <cell r="N144">
            <v>0</v>
          </cell>
        </row>
        <row r="146">
          <cell r="B146" t="str">
            <v xml:space="preserve"> Tax  on Dividends</v>
          </cell>
          <cell r="D146">
            <v>1.64</v>
          </cell>
          <cell r="F146">
            <v>1.47</v>
          </cell>
          <cell r="H146">
            <v>1.44</v>
          </cell>
          <cell r="J146">
            <v>0</v>
          </cell>
          <cell r="L146">
            <v>0</v>
          </cell>
          <cell r="N146">
            <v>0</v>
          </cell>
        </row>
        <row r="148">
          <cell r="B148" t="str">
            <v>Transfer to  Reserves</v>
          </cell>
          <cell r="D148">
            <v>10</v>
          </cell>
          <cell r="F148">
            <v>10</v>
          </cell>
          <cell r="H148">
            <v>12</v>
          </cell>
          <cell r="J148">
            <v>4.4139999999999997</v>
          </cell>
          <cell r="L148">
            <v>10</v>
          </cell>
          <cell r="N148">
            <v>0</v>
          </cell>
        </row>
        <row r="150">
          <cell r="B150" t="str">
            <v>Balance Carried  to Balance Sheet</v>
          </cell>
          <cell r="D150">
            <v>71.61284999999998</v>
          </cell>
          <cell r="F150">
            <v>119.78686999999996</v>
          </cell>
          <cell r="H150">
            <v>170.70687000000024</v>
          </cell>
          <cell r="J150">
            <v>168.6078700000001</v>
          </cell>
          <cell r="L150">
            <v>267.96887000000135</v>
          </cell>
          <cell r="N150">
            <v>466.81787000000151</v>
          </cell>
        </row>
        <row r="151">
          <cell r="C151">
            <v>0</v>
          </cell>
          <cell r="D151" t="str">
            <v>-</v>
          </cell>
          <cell r="E151">
            <v>0</v>
          </cell>
          <cell r="F151" t="str">
            <v>-</v>
          </cell>
          <cell r="G151">
            <v>0</v>
          </cell>
          <cell r="H151" t="str">
            <v>-</v>
          </cell>
          <cell r="I151">
            <v>0</v>
          </cell>
          <cell r="J151" t="str">
            <v>-</v>
          </cell>
          <cell r="K151">
            <v>0</v>
          </cell>
          <cell r="L151" t="str">
            <v>-</v>
          </cell>
          <cell r="M151">
            <v>0</v>
          </cell>
          <cell r="N151" t="str">
            <v>-</v>
          </cell>
        </row>
        <row r="152">
          <cell r="D152">
            <v>99.61284999999998</v>
          </cell>
          <cell r="F152">
            <v>145.98686999999995</v>
          </cell>
          <cell r="H152">
            <v>197.23687000000024</v>
          </cell>
          <cell r="J152">
            <v>173.02187000000009</v>
          </cell>
          <cell r="L152">
            <v>281.23887000000133</v>
          </cell>
          <cell r="N152">
            <v>466.81787000000151</v>
          </cell>
        </row>
        <row r="153">
          <cell r="C153">
            <v>0</v>
          </cell>
          <cell r="D153" t="str">
            <v>=</v>
          </cell>
          <cell r="E153">
            <v>0</v>
          </cell>
          <cell r="F153" t="str">
            <v>=</v>
          </cell>
          <cell r="G153">
            <v>0</v>
          </cell>
          <cell r="H153" t="str">
            <v>=</v>
          </cell>
          <cell r="I153">
            <v>0</v>
          </cell>
          <cell r="J153" t="str">
            <v>=</v>
          </cell>
          <cell r="K153">
            <v>0</v>
          </cell>
          <cell r="L153" t="str">
            <v>=</v>
          </cell>
          <cell r="M153">
            <v>0</v>
          </cell>
          <cell r="N153" t="str">
            <v>=</v>
          </cell>
        </row>
        <row r="176">
          <cell r="B176" t="str">
            <v>DETAILS  FOR  CALCULATING RATIOS</v>
          </cell>
        </row>
        <row r="178">
          <cell r="B178" t="str">
            <v>-</v>
          </cell>
          <cell r="C178" t="str">
            <v>-</v>
          </cell>
          <cell r="D178" t="str">
            <v>-</v>
          </cell>
          <cell r="E178" t="str">
            <v>-</v>
          </cell>
          <cell r="F178" t="str">
            <v>-</v>
          </cell>
          <cell r="G178" t="str">
            <v>-</v>
          </cell>
          <cell r="H178" t="str">
            <v>-</v>
          </cell>
        </row>
        <row r="179">
          <cell r="B179" t="str">
            <v>PARTICULARS</v>
          </cell>
          <cell r="C179" t="str">
            <v>1997-98</v>
          </cell>
          <cell r="D179" t="str">
            <v>1998-99</v>
          </cell>
          <cell r="E179" t="str">
            <v>1999-00</v>
          </cell>
          <cell r="F179" t="str">
            <v>2000-01</v>
          </cell>
          <cell r="G179" t="str">
            <v>2001-02</v>
          </cell>
          <cell r="H179" t="str">
            <v>2002-03</v>
          </cell>
        </row>
        <row r="180">
          <cell r="B180" t="str">
            <v>-</v>
          </cell>
          <cell r="C180" t="str">
            <v>-</v>
          </cell>
          <cell r="D180" t="str">
            <v>-</v>
          </cell>
          <cell r="E180" t="str">
            <v>-</v>
          </cell>
          <cell r="F180" t="str">
            <v>-</v>
          </cell>
          <cell r="G180" t="str">
            <v>-</v>
          </cell>
          <cell r="H180" t="str">
            <v>-</v>
          </cell>
        </row>
        <row r="181">
          <cell r="B181" t="str">
            <v>Total  Share  Capital</v>
          </cell>
          <cell r="C181">
            <v>32.729999999999997</v>
          </cell>
          <cell r="D181">
            <v>35.229999999999997</v>
          </cell>
          <cell r="E181">
            <v>35.229999999999997</v>
          </cell>
          <cell r="F181">
            <v>32.729999999999997</v>
          </cell>
          <cell r="G181">
            <v>32.729999999999997</v>
          </cell>
          <cell r="H181">
            <v>50.73</v>
          </cell>
        </row>
        <row r="183">
          <cell r="B183" t="str">
            <v>Total  Dividend</v>
          </cell>
          <cell r="C183">
            <v>18</v>
          </cell>
          <cell r="D183">
            <v>16.2</v>
          </cell>
          <cell r="E183">
            <v>14.53</v>
          </cell>
          <cell r="F183">
            <v>0</v>
          </cell>
          <cell r="G183">
            <v>3.27</v>
          </cell>
          <cell r="H183">
            <v>0</v>
          </cell>
        </row>
        <row r="185">
          <cell r="B185" t="str">
            <v>Loan  Funds</v>
          </cell>
          <cell r="C185">
            <v>331.24</v>
          </cell>
          <cell r="D185">
            <v>488.45</v>
          </cell>
          <cell r="E185">
            <v>476.06</v>
          </cell>
          <cell r="F185">
            <v>184.79</v>
          </cell>
          <cell r="G185">
            <v>395.6</v>
          </cell>
          <cell r="H185">
            <v>865.99</v>
          </cell>
        </row>
        <row r="187">
          <cell r="B187" t="str">
            <v>Term  Loans</v>
          </cell>
          <cell r="C187">
            <v>199.57999999999998</v>
          </cell>
          <cell r="D187">
            <v>237.06</v>
          </cell>
          <cell r="E187">
            <v>273.65999999999997</v>
          </cell>
          <cell r="F187">
            <v>133.68</v>
          </cell>
          <cell r="G187">
            <v>349.63</v>
          </cell>
          <cell r="H187">
            <v>754.39699999999993</v>
          </cell>
        </row>
        <row r="189">
          <cell r="B189" t="str">
            <v>Unsecured  Loan</v>
          </cell>
          <cell r="C189">
            <v>18.25</v>
          </cell>
          <cell r="D189">
            <v>115.25</v>
          </cell>
          <cell r="E189">
            <v>30.5</v>
          </cell>
          <cell r="F189">
            <v>0</v>
          </cell>
          <cell r="G189">
            <v>0</v>
          </cell>
          <cell r="H189">
            <v>13.885</v>
          </cell>
        </row>
        <row r="191">
          <cell r="B191" t="str">
            <v>Working  Capital  Loan</v>
          </cell>
          <cell r="C191">
            <v>113.41</v>
          </cell>
          <cell r="D191">
            <v>136.13999999999999</v>
          </cell>
          <cell r="E191">
            <v>171.9</v>
          </cell>
          <cell r="F191">
            <v>51.11</v>
          </cell>
          <cell r="G191">
            <v>45.97</v>
          </cell>
          <cell r="H191">
            <v>95.296999999999997</v>
          </cell>
        </row>
        <row r="193">
          <cell r="B193" t="str">
            <v>Debt</v>
          </cell>
          <cell r="C193">
            <v>199.58</v>
          </cell>
          <cell r="D193">
            <v>237.06</v>
          </cell>
          <cell r="E193">
            <v>273.65999999999997</v>
          </cell>
          <cell r="F193">
            <v>133.68</v>
          </cell>
          <cell r="G193">
            <v>349.63</v>
          </cell>
          <cell r="H193">
            <v>756.80799999999999</v>
          </cell>
        </row>
        <row r="195">
          <cell r="B195" t="str">
            <v>Current  Assets:</v>
          </cell>
        </row>
        <row r="197">
          <cell r="B197" t="str">
            <v>a. Inventories</v>
          </cell>
          <cell r="C197">
            <v>45.33</v>
          </cell>
          <cell r="D197">
            <v>53.25</v>
          </cell>
          <cell r="E197">
            <v>41.57</v>
          </cell>
          <cell r="F197">
            <v>58.55</v>
          </cell>
          <cell r="G197">
            <v>130.61000000000001</v>
          </cell>
          <cell r="H197">
            <v>288.3</v>
          </cell>
        </row>
        <row r="199">
          <cell r="B199" t="str">
            <v>b. Sundry  Debtors</v>
          </cell>
          <cell r="C199">
            <v>52.62</v>
          </cell>
          <cell r="D199">
            <v>41.46</v>
          </cell>
          <cell r="E199">
            <v>105.17</v>
          </cell>
          <cell r="F199">
            <v>100.47</v>
          </cell>
          <cell r="G199">
            <v>87.53</v>
          </cell>
          <cell r="H199">
            <v>95.6</v>
          </cell>
        </row>
        <row r="201">
          <cell r="B201" t="str">
            <v>c.  Cash &amp; Bank Balances</v>
          </cell>
          <cell r="C201">
            <v>25.15</v>
          </cell>
          <cell r="D201">
            <v>37.33</v>
          </cell>
          <cell r="E201">
            <v>23.84</v>
          </cell>
          <cell r="F201">
            <v>11.56</v>
          </cell>
          <cell r="G201">
            <v>1.54</v>
          </cell>
          <cell r="H201">
            <v>2.4700000000000002</v>
          </cell>
        </row>
        <row r="203">
          <cell r="B203" t="str">
            <v>d.  Loans &amp;  Advances</v>
          </cell>
          <cell r="C203">
            <v>40.089999999999996</v>
          </cell>
          <cell r="D203">
            <v>135.42000000000002</v>
          </cell>
          <cell r="E203">
            <v>257.35000000000002</v>
          </cell>
          <cell r="F203">
            <v>61.674999999999997</v>
          </cell>
          <cell r="G203">
            <v>112.2</v>
          </cell>
          <cell r="H203">
            <v>75.19</v>
          </cell>
        </row>
        <row r="205">
          <cell r="B205" t="str">
            <v>e.  Deposits</v>
          </cell>
          <cell r="C205">
            <v>31.54</v>
          </cell>
          <cell r="D205">
            <v>31.63</v>
          </cell>
          <cell r="E205">
            <v>1.63</v>
          </cell>
          <cell r="F205">
            <v>1.645</v>
          </cell>
          <cell r="G205">
            <v>1.81</v>
          </cell>
          <cell r="H205">
            <v>106.12</v>
          </cell>
        </row>
        <row r="207">
          <cell r="B207" t="str">
            <v>f. Trade  Investments</v>
          </cell>
          <cell r="C207">
            <v>0</v>
          </cell>
          <cell r="D207">
            <v>0</v>
          </cell>
          <cell r="E207">
            <v>0</v>
          </cell>
          <cell r="F207">
            <v>0</v>
          </cell>
          <cell r="G207">
            <v>0</v>
          </cell>
          <cell r="H207">
            <v>0</v>
          </cell>
        </row>
        <row r="208">
          <cell r="C208" t="str">
            <v>-</v>
          </cell>
          <cell r="D208" t="str">
            <v>-</v>
          </cell>
          <cell r="E208" t="str">
            <v>-</v>
          </cell>
          <cell r="F208" t="str">
            <v>-</v>
          </cell>
          <cell r="G208" t="str">
            <v>-</v>
          </cell>
          <cell r="H208" t="str">
            <v>-</v>
          </cell>
        </row>
        <row r="209">
          <cell r="B209" t="str">
            <v xml:space="preserve">         Total Current  Assets</v>
          </cell>
          <cell r="C209">
            <v>194.73</v>
          </cell>
          <cell r="D209">
            <v>299.09000000000003</v>
          </cell>
          <cell r="E209">
            <v>429.56000000000006</v>
          </cell>
          <cell r="F209">
            <v>233.9</v>
          </cell>
          <cell r="G209">
            <v>333.69</v>
          </cell>
          <cell r="H209">
            <v>567.68000000000006</v>
          </cell>
        </row>
        <row r="211">
          <cell r="B211" t="str">
            <v>Current Liabilities</v>
          </cell>
          <cell r="C211">
            <v>35.5</v>
          </cell>
          <cell r="D211">
            <v>31.48</v>
          </cell>
          <cell r="E211">
            <v>33.119999999999997</v>
          </cell>
          <cell r="F211">
            <v>28.53</v>
          </cell>
          <cell r="G211">
            <v>86.375</v>
          </cell>
          <cell r="H211">
            <v>66.83</v>
          </cell>
        </row>
        <row r="212">
          <cell r="C212" t="str">
            <v>-</v>
          </cell>
          <cell r="D212" t="str">
            <v>-</v>
          </cell>
          <cell r="E212" t="str">
            <v>-</v>
          </cell>
          <cell r="F212" t="str">
            <v>-</v>
          </cell>
          <cell r="G212" t="str">
            <v>-</v>
          </cell>
          <cell r="H212" t="str">
            <v>-</v>
          </cell>
        </row>
        <row r="213">
          <cell r="B213" t="str">
            <v xml:space="preserve">         Total  Current Liabilities</v>
          </cell>
          <cell r="C213">
            <v>140.72999999999999</v>
          </cell>
          <cell r="D213">
            <v>167.61999999999998</v>
          </cell>
          <cell r="E213">
            <v>205.02</v>
          </cell>
          <cell r="F213">
            <v>79.64</v>
          </cell>
          <cell r="G213">
            <v>132.345</v>
          </cell>
          <cell r="H213">
            <v>162.12700000000001</v>
          </cell>
        </row>
        <row r="214">
          <cell r="C214" t="str">
            <v>-</v>
          </cell>
          <cell r="D214" t="str">
            <v>-</v>
          </cell>
          <cell r="E214" t="str">
            <v>-</v>
          </cell>
          <cell r="F214" t="str">
            <v>-</v>
          </cell>
          <cell r="G214" t="str">
            <v>-</v>
          </cell>
          <cell r="H214" t="str">
            <v>-</v>
          </cell>
        </row>
        <row r="215">
          <cell r="B215" t="str">
            <v xml:space="preserve">Working  Capital  </v>
          </cell>
          <cell r="C215">
            <v>54</v>
          </cell>
          <cell r="D215">
            <v>131.47000000000006</v>
          </cell>
          <cell r="E215">
            <v>224.54000000000005</v>
          </cell>
          <cell r="F215">
            <v>154.26</v>
          </cell>
          <cell r="G215">
            <v>201.345</v>
          </cell>
          <cell r="H215">
            <v>405.55300000000005</v>
          </cell>
        </row>
        <row r="217">
          <cell r="B217" t="str">
            <v>L.T. Funds</v>
          </cell>
          <cell r="C217">
            <v>389.06000000000006</v>
          </cell>
          <cell r="D217">
            <v>606.72</v>
          </cell>
          <cell r="E217">
            <v>621.48</v>
          </cell>
          <cell r="F217">
            <v>424.41999999999996</v>
          </cell>
          <cell r="G217">
            <v>749.72700000000009</v>
          </cell>
          <cell r="H217">
            <v>1689.6399999999999</v>
          </cell>
        </row>
        <row r="219">
          <cell r="B219" t="str">
            <v>Turnover</v>
          </cell>
          <cell r="C219">
            <v>1364.28</v>
          </cell>
          <cell r="D219">
            <v>1093.98</v>
          </cell>
          <cell r="E219">
            <v>2217.7800000000002</v>
          </cell>
          <cell r="F219">
            <v>2628.58</v>
          </cell>
          <cell r="G219">
            <v>3089.9</v>
          </cell>
          <cell r="H219">
            <v>4555.9579999999996</v>
          </cell>
        </row>
        <row r="221">
          <cell r="B221" t="str">
            <v>Gross  Profit</v>
          </cell>
          <cell r="C221">
            <v>255.88285000000005</v>
          </cell>
          <cell r="D221">
            <v>214.57402000000008</v>
          </cell>
          <cell r="E221">
            <v>297.62000000000046</v>
          </cell>
          <cell r="F221">
            <v>315.91999999999967</v>
          </cell>
          <cell r="G221">
            <v>431.21000000000055</v>
          </cell>
          <cell r="H221">
            <v>565.71399999999971</v>
          </cell>
        </row>
        <row r="223">
          <cell r="B223" t="str">
            <v>Net Profit for the Year</v>
          </cell>
          <cell r="C223">
            <v>99.61284999999998</v>
          </cell>
          <cell r="D223">
            <v>74.374019999999973</v>
          </cell>
          <cell r="E223">
            <v>77.450000000000273</v>
          </cell>
          <cell r="F223">
            <v>89.054999999999836</v>
          </cell>
          <cell r="G223">
            <v>121.88100000000122</v>
          </cell>
          <cell r="H223">
            <v>215.84900000000016</v>
          </cell>
        </row>
        <row r="225">
          <cell r="B225" t="str">
            <v>Interest  &amp;  Finance  Charges</v>
          </cell>
          <cell r="C225">
            <v>59.28</v>
          </cell>
          <cell r="D225">
            <v>47.3</v>
          </cell>
          <cell r="E225">
            <v>72.25</v>
          </cell>
          <cell r="F225">
            <v>52.72</v>
          </cell>
          <cell r="G225">
            <v>44.89</v>
          </cell>
          <cell r="H225">
            <v>66.126000000000005</v>
          </cell>
        </row>
        <row r="227">
          <cell r="B227" t="str">
            <v>PBIT</v>
          </cell>
          <cell r="C227">
            <v>158.89284999999998</v>
          </cell>
          <cell r="D227">
            <v>121.67401999999997</v>
          </cell>
          <cell r="E227">
            <v>149.70000000000027</v>
          </cell>
          <cell r="F227">
            <v>141.77499999999984</v>
          </cell>
          <cell r="G227">
            <v>166.77100000000121</v>
          </cell>
          <cell r="H227">
            <v>281.97500000000014</v>
          </cell>
        </row>
        <row r="229">
          <cell r="B229" t="str">
            <v xml:space="preserve">F.G.Inventory </v>
          </cell>
          <cell r="C229">
            <v>0</v>
          </cell>
          <cell r="D229">
            <v>0</v>
          </cell>
          <cell r="E229">
            <v>0</v>
          </cell>
          <cell r="F229">
            <v>0</v>
          </cell>
          <cell r="G229">
            <v>0</v>
          </cell>
          <cell r="H229">
            <v>0</v>
          </cell>
        </row>
        <row r="231">
          <cell r="B231" t="str">
            <v>R.M.Inventory</v>
          </cell>
          <cell r="C231">
            <v>0</v>
          </cell>
          <cell r="D231">
            <v>0</v>
          </cell>
          <cell r="E231">
            <v>0</v>
          </cell>
          <cell r="F231">
            <v>0</v>
          </cell>
          <cell r="G231">
            <v>0</v>
          </cell>
          <cell r="H231">
            <v>0</v>
          </cell>
        </row>
        <row r="232">
          <cell r="B232" t="str">
            <v>=</v>
          </cell>
          <cell r="C232" t="str">
            <v>=</v>
          </cell>
          <cell r="D232" t="str">
            <v>=</v>
          </cell>
          <cell r="E232" t="str">
            <v>=</v>
          </cell>
          <cell r="F232" t="str">
            <v>=</v>
          </cell>
          <cell r="G232" t="str">
            <v>=</v>
          </cell>
          <cell r="H232" t="str">
            <v>=</v>
          </cell>
        </row>
        <row r="236">
          <cell r="B236" t="str">
            <v>CALCULATION  OF  VARIOUS  RATIOS</v>
          </cell>
        </row>
        <row r="237">
          <cell r="H237" t="str">
            <v>(RS.IN LACS)</v>
          </cell>
        </row>
        <row r="238">
          <cell r="B238" t="str">
            <v>-</v>
          </cell>
          <cell r="C238" t="str">
            <v>-</v>
          </cell>
          <cell r="D238" t="str">
            <v>-</v>
          </cell>
          <cell r="E238" t="str">
            <v>-</v>
          </cell>
          <cell r="F238" t="str">
            <v>-</v>
          </cell>
          <cell r="G238" t="str">
            <v>-</v>
          </cell>
          <cell r="H238" t="str">
            <v>-</v>
          </cell>
        </row>
        <row r="239">
          <cell r="B239" t="str">
            <v>PARTICULARS</v>
          </cell>
          <cell r="C239" t="str">
            <v>1997-98</v>
          </cell>
          <cell r="D239" t="str">
            <v>1998-99</v>
          </cell>
          <cell r="E239" t="str">
            <v>1999-00</v>
          </cell>
          <cell r="F239" t="str">
            <v>2000-01</v>
          </cell>
          <cell r="G239" t="str">
            <v>2001-02</v>
          </cell>
          <cell r="H239" t="str">
            <v>2002-03</v>
          </cell>
        </row>
        <row r="240">
          <cell r="B240" t="str">
            <v>-</v>
          </cell>
          <cell r="C240" t="str">
            <v>-</v>
          </cell>
          <cell r="D240" t="str">
            <v>-</v>
          </cell>
          <cell r="E240" t="str">
            <v>-</v>
          </cell>
          <cell r="F240" t="str">
            <v>-</v>
          </cell>
          <cell r="G240" t="str">
            <v>-</v>
          </cell>
          <cell r="H240" t="str">
            <v>-</v>
          </cell>
        </row>
        <row r="241">
          <cell r="B241" t="str">
            <v>NET PROFIT AFTER TAX</v>
          </cell>
          <cell r="C241">
            <v>99.61284999999998</v>
          </cell>
          <cell r="D241">
            <v>74.374019999999973</v>
          </cell>
          <cell r="E241">
            <v>77.450000000000273</v>
          </cell>
          <cell r="F241">
            <v>2.3149999999998414</v>
          </cell>
          <cell r="G241">
            <v>112.63100000000122</v>
          </cell>
          <cell r="H241">
            <v>198.84900000000016</v>
          </cell>
        </row>
        <row r="243">
          <cell r="B243" t="str">
            <v>CASH PROFIT</v>
          </cell>
          <cell r="C243">
            <v>115.60284999999998</v>
          </cell>
          <cell r="D243">
            <v>91.824019999999976</v>
          </cell>
          <cell r="E243">
            <v>101.41000000000028</v>
          </cell>
          <cell r="F243">
            <v>49.349999999999838</v>
          </cell>
          <cell r="G243">
            <v>186.84000000000123</v>
          </cell>
          <cell r="H243">
            <v>258.84900000000016</v>
          </cell>
        </row>
        <row r="245">
          <cell r="B245" t="str">
            <v>CASH PROFIT RATIO</v>
          </cell>
          <cell r="C245">
            <v>8.3800543675244636</v>
          </cell>
          <cell r="D245">
            <v>8.3006264520036499</v>
          </cell>
          <cell r="E245">
            <v>4.56341349269207</v>
          </cell>
          <cell r="F245">
            <v>1.8709836407408049</v>
          </cell>
          <cell r="G245">
            <v>6.0051875255118006</v>
          </cell>
          <cell r="H245">
            <v>5.4303754368600279</v>
          </cell>
        </row>
        <row r="247">
          <cell r="B247" t="str">
            <v>EQUITY SHARE CAPITAL</v>
          </cell>
          <cell r="C247">
            <v>32.729999999999997</v>
          </cell>
          <cell r="D247">
            <v>32.729999999999997</v>
          </cell>
          <cell r="E247">
            <v>32.729999999999997</v>
          </cell>
          <cell r="F247">
            <v>32.729999999999997</v>
          </cell>
          <cell r="G247">
            <v>32.729999999999997</v>
          </cell>
          <cell r="H247">
            <v>32.729999999999997</v>
          </cell>
        </row>
        <row r="249">
          <cell r="B249" t="str">
            <v>PREFERENCE SHARE CAPITAL</v>
          </cell>
          <cell r="C249">
            <v>0</v>
          </cell>
          <cell r="D249">
            <v>2.5</v>
          </cell>
          <cell r="E249">
            <v>2.5</v>
          </cell>
          <cell r="H249">
            <v>18</v>
          </cell>
        </row>
        <row r="251">
          <cell r="B251" t="str">
            <v>RESERVES &amp; SURPLUS</v>
          </cell>
          <cell r="C251">
            <v>138.5</v>
          </cell>
          <cell r="D251">
            <v>219.18</v>
          </cell>
          <cell r="E251">
            <v>282.08999999999997</v>
          </cell>
          <cell r="F251">
            <v>258.01</v>
          </cell>
          <cell r="G251">
            <v>367.36700000000002</v>
          </cell>
          <cell r="H251">
            <v>868.21699999999998</v>
          </cell>
        </row>
        <row r="253">
          <cell r="B253" t="str">
            <v>NET  WORTH</v>
          </cell>
          <cell r="C253">
            <v>171.23</v>
          </cell>
          <cell r="D253">
            <v>254.41</v>
          </cell>
          <cell r="E253">
            <v>317.32</v>
          </cell>
          <cell r="F253">
            <v>290.74</v>
          </cell>
          <cell r="G253">
            <v>400.09700000000004</v>
          </cell>
          <cell r="H253">
            <v>918.947</v>
          </cell>
        </row>
        <row r="255">
          <cell r="B255" t="str">
            <v>UNSECURED  LOAN</v>
          </cell>
          <cell r="C255">
            <v>18.25</v>
          </cell>
          <cell r="D255">
            <v>115.25</v>
          </cell>
          <cell r="E255">
            <v>30.5</v>
          </cell>
          <cell r="F255">
            <v>0</v>
          </cell>
          <cell r="G255">
            <v>0</v>
          </cell>
          <cell r="H255">
            <v>13.885</v>
          </cell>
        </row>
        <row r="257">
          <cell r="B257" t="str">
            <v>TERM LOANS</v>
          </cell>
          <cell r="C257">
            <v>199.57999999999998</v>
          </cell>
          <cell r="D257">
            <v>237.06</v>
          </cell>
          <cell r="E257">
            <v>273.65999999999997</v>
          </cell>
          <cell r="F257">
            <v>133.68</v>
          </cell>
          <cell r="G257">
            <v>349.63</v>
          </cell>
          <cell r="H257">
            <v>754.39699999999993</v>
          </cell>
        </row>
        <row r="259">
          <cell r="B259" t="str">
            <v>EQUITY SHARES OF Rs.10 EACH</v>
          </cell>
          <cell r="C259">
            <v>327299.99999999994</v>
          </cell>
          <cell r="D259">
            <v>327299.99999999994</v>
          </cell>
          <cell r="E259">
            <v>327299.99999999994</v>
          </cell>
          <cell r="F259">
            <v>327299.99999999994</v>
          </cell>
          <cell r="G259">
            <v>327299.99999999994</v>
          </cell>
          <cell r="H259">
            <v>327299.99999999994</v>
          </cell>
        </row>
        <row r="261">
          <cell r="B261" t="str">
            <v>EPS</v>
          </cell>
          <cell r="C261">
            <v>30.434723495264286</v>
          </cell>
          <cell r="D261">
            <v>22.723501374885423</v>
          </cell>
          <cell r="E261">
            <v>23.663305835624897</v>
          </cell>
          <cell r="F261">
            <v>0.7073021692636241</v>
          </cell>
          <cell r="G261">
            <v>34.412160097770006</v>
          </cell>
          <cell r="H261">
            <v>60.754353803849746</v>
          </cell>
        </row>
        <row r="263">
          <cell r="B263" t="str">
            <v>CASH  EPS</v>
          </cell>
          <cell r="C263">
            <v>35.32014970974641</v>
          </cell>
          <cell r="D263">
            <v>28.055001527650468</v>
          </cell>
          <cell r="E263">
            <v>30.983806904980234</v>
          </cell>
          <cell r="F263">
            <v>15.077910174152107</v>
          </cell>
          <cell r="G263">
            <v>57.085242896425683</v>
          </cell>
          <cell r="H263">
            <v>79.086159486709505</v>
          </cell>
        </row>
        <row r="265">
          <cell r="B265" t="str">
            <v>DIVIDEND %</v>
          </cell>
          <cell r="C265">
            <v>0.54995417048579287</v>
          </cell>
          <cell r="D265">
            <v>0.4598353675844451</v>
          </cell>
          <cell r="E265">
            <v>0.41243258586432019</v>
          </cell>
          <cell r="F265">
            <v>0</v>
          </cell>
          <cell r="G265">
            <v>9.9908340971585713E-2</v>
          </cell>
          <cell r="H265">
            <v>0</v>
          </cell>
        </row>
        <row r="267">
          <cell r="B267" t="str">
            <v>NET  WORTH</v>
          </cell>
          <cell r="C267">
            <v>171.23</v>
          </cell>
          <cell r="D267">
            <v>254.41</v>
          </cell>
          <cell r="E267">
            <v>317.32</v>
          </cell>
          <cell r="F267">
            <v>290.74</v>
          </cell>
          <cell r="G267">
            <v>400.09700000000004</v>
          </cell>
          <cell r="H267">
            <v>918.947</v>
          </cell>
        </row>
        <row r="269">
          <cell r="B269" t="str">
            <v>BOOK VALUE PER SHARE</v>
          </cell>
          <cell r="C269">
            <v>52.315918117934622</v>
          </cell>
          <cell r="D269">
            <v>77.729911396272556</v>
          </cell>
          <cell r="E269">
            <v>96.950809654751012</v>
          </cell>
          <cell r="F269">
            <v>88.829819737244136</v>
          </cell>
          <cell r="G269">
            <v>122.24167430491906</v>
          </cell>
          <cell r="H269">
            <v>280.76596394744888</v>
          </cell>
        </row>
        <row r="271">
          <cell r="B271" t="str">
            <v>DEBT -EQUITY RATIO</v>
          </cell>
          <cell r="C271">
            <v>1.0533037787629302</v>
          </cell>
          <cell r="D271">
            <v>0.64129199805226433</v>
          </cell>
          <cell r="E271">
            <v>0.78678626875970326</v>
          </cell>
          <cell r="F271">
            <v>0.45979225424778153</v>
          </cell>
          <cell r="G271">
            <v>0.87386308820111114</v>
          </cell>
          <cell r="H271">
            <v>0.81130149909094029</v>
          </cell>
        </row>
        <row r="273">
          <cell r="B273" t="str">
            <v>CURRENT  RATIO</v>
          </cell>
          <cell r="C273">
            <v>1.3837134939245364</v>
          </cell>
          <cell r="D273">
            <v>1.7843336117408428</v>
          </cell>
          <cell r="E273">
            <v>2.09521022339284</v>
          </cell>
          <cell r="F273">
            <v>2.9369663485685584</v>
          </cell>
          <cell r="G273">
            <v>2.521364615210246</v>
          </cell>
          <cell r="H273">
            <v>3.5014525649645032</v>
          </cell>
        </row>
        <row r="275">
          <cell r="B275" t="str">
            <v>LIQUID  RATIO</v>
          </cell>
          <cell r="C275">
            <v>1.0616073331912173</v>
          </cell>
          <cell r="D275">
            <v>1.4666507576661501</v>
          </cell>
          <cell r="E275">
            <v>1.8924495171202811</v>
          </cell>
          <cell r="F275">
            <v>2.2017830236062284</v>
          </cell>
          <cell r="G275">
            <v>1.5344742906796629</v>
          </cell>
          <cell r="H275">
            <v>1.7232169842160778</v>
          </cell>
        </row>
        <row r="276">
          <cell r="B276" t="str">
            <v>=</v>
          </cell>
          <cell r="C276" t="str">
            <v>=</v>
          </cell>
          <cell r="D276" t="str">
            <v>=</v>
          </cell>
          <cell r="E276" t="str">
            <v>=</v>
          </cell>
          <cell r="F276" t="str">
            <v>=</v>
          </cell>
          <cell r="G276" t="str">
            <v>=</v>
          </cell>
          <cell r="H276" t="str">
            <v>=</v>
          </cell>
        </row>
        <row r="278">
          <cell r="H278" t="str">
            <v>(RS.IN LACS)</v>
          </cell>
        </row>
        <row r="279">
          <cell r="B279" t="str">
            <v>-</v>
          </cell>
          <cell r="C279" t="str">
            <v>-</v>
          </cell>
          <cell r="D279" t="str">
            <v>-</v>
          </cell>
          <cell r="E279" t="str">
            <v>-</v>
          </cell>
          <cell r="F279" t="str">
            <v>-</v>
          </cell>
          <cell r="G279" t="str">
            <v>-</v>
          </cell>
          <cell r="H279" t="str">
            <v>-</v>
          </cell>
        </row>
        <row r="280">
          <cell r="B280" t="str">
            <v>PARTICULARS</v>
          </cell>
          <cell r="C280" t="str">
            <v>1997-98</v>
          </cell>
          <cell r="D280" t="str">
            <v>1998-99</v>
          </cell>
          <cell r="E280" t="str">
            <v>1999-00</v>
          </cell>
          <cell r="F280" t="str">
            <v>2000-01</v>
          </cell>
          <cell r="G280" t="str">
            <v>2001-02</v>
          </cell>
          <cell r="H280" t="str">
            <v>2002-03</v>
          </cell>
        </row>
        <row r="281">
          <cell r="B281" t="str">
            <v>-</v>
          </cell>
          <cell r="C281" t="str">
            <v>-</v>
          </cell>
          <cell r="D281" t="str">
            <v>-</v>
          </cell>
          <cell r="E281" t="str">
            <v>-</v>
          </cell>
          <cell r="F281" t="str">
            <v>-</v>
          </cell>
          <cell r="G281" t="str">
            <v>-</v>
          </cell>
          <cell r="H281" t="str">
            <v>-</v>
          </cell>
        </row>
        <row r="282">
          <cell r="B282" t="str">
            <v>FIXED  ASSETS/ L.T.FUNDS</v>
          </cell>
          <cell r="C282">
            <v>0.76787642008944623</v>
          </cell>
          <cell r="D282">
            <v>0.69035139767932485</v>
          </cell>
          <cell r="E282">
            <v>0.63807363068803502</v>
          </cell>
          <cell r="F282">
            <v>0.63562037604259936</v>
          </cell>
          <cell r="G282">
            <v>0.73089271161369396</v>
          </cell>
          <cell r="H282">
            <v>0.65758623138656769</v>
          </cell>
        </row>
        <row r="284">
          <cell r="B284" t="str">
            <v>RETURN  ON NET  WORTH</v>
          </cell>
          <cell r="D284">
            <v>0.34946912884127418</v>
          </cell>
          <cell r="E284">
            <v>0.27093208332604646</v>
          </cell>
          <cell r="F284">
            <v>7.614380159852125E-3</v>
          </cell>
          <cell r="G284">
            <v>0.32607112821114453</v>
          </cell>
          <cell r="H284">
            <v>0.30150472615015139</v>
          </cell>
        </row>
        <row r="286">
          <cell r="B286" t="str">
            <v>RETURN ON  CAPITAL</v>
          </cell>
          <cell r="C286">
            <v>3.0434723495264282</v>
          </cell>
          <cell r="D286">
            <v>2.1110990632983246</v>
          </cell>
          <cell r="E286">
            <v>2.1984104456429261</v>
          </cell>
          <cell r="F286">
            <v>7.0730216926362402E-2</v>
          </cell>
          <cell r="G286">
            <v>3.4412160097770008</v>
          </cell>
          <cell r="H286">
            <v>3.9197516262566561</v>
          </cell>
        </row>
        <row r="288">
          <cell r="B288" t="str">
            <v>GROSS  PROFIT  RATIO</v>
          </cell>
          <cell r="C288">
            <v>0.18755889553464103</v>
          </cell>
          <cell r="D288">
            <v>0.19614071555238677</v>
          </cell>
          <cell r="E288">
            <v>0.13419726032338664</v>
          </cell>
          <cell r="F288">
            <v>0.12018656460902832</v>
          </cell>
          <cell r="G288">
            <v>0.13955467814492395</v>
          </cell>
          <cell r="H288">
            <v>0.12417015257822828</v>
          </cell>
        </row>
        <row r="290">
          <cell r="B290" t="str">
            <v>NET  PROFIT  RATIO</v>
          </cell>
          <cell r="C290">
            <v>7.30149602720849E-2</v>
          </cell>
          <cell r="D290">
            <v>6.79848077661383E-2</v>
          </cell>
          <cell r="E290">
            <v>3.492230969708459E-2</v>
          </cell>
          <cell r="F290">
            <v>8.8070364987934222E-4</v>
          </cell>
          <cell r="G290">
            <v>3.64513414673618E-2</v>
          </cell>
          <cell r="H290">
            <v>4.3645924742941038E-2</v>
          </cell>
        </row>
        <row r="292">
          <cell r="B292" t="str">
            <v>CAPITAL  TURNOVER RATIO</v>
          </cell>
          <cell r="C292">
            <v>41.68285976168653</v>
          </cell>
          <cell r="D292">
            <v>31.052512063582178</v>
          </cell>
          <cell r="E292">
            <v>62.951461822310542</v>
          </cell>
          <cell r="F292">
            <v>80.311029636419192</v>
          </cell>
          <cell r="G292">
            <v>94.405743965780644</v>
          </cell>
          <cell r="H292">
            <v>89.80796372954859</v>
          </cell>
        </row>
        <row r="294">
          <cell r="B294" t="str">
            <v>WORKING  CAP.  TURNOVER</v>
          </cell>
          <cell r="C294">
            <v>25.264444444444443</v>
          </cell>
          <cell r="D294">
            <v>8.3211379021830041</v>
          </cell>
          <cell r="E294">
            <v>9.8769929633918228</v>
          </cell>
          <cell r="F294">
            <v>17.039932581356151</v>
          </cell>
          <cell r="G294">
            <v>15.346296158335196</v>
          </cell>
          <cell r="H294">
            <v>11.233939830305777</v>
          </cell>
        </row>
        <row r="296">
          <cell r="B296" t="str">
            <v>ASSET COVERAGE RATIO</v>
          </cell>
          <cell r="C296">
            <v>1.4968934763002306</v>
          </cell>
          <cell r="D296">
            <v>1.7668522736859869</v>
          </cell>
          <cell r="E296">
            <v>1.4490608784623258</v>
          </cell>
          <cell r="F296">
            <v>2.0180281268701372</v>
          </cell>
          <cell r="G296">
            <v>1.567285416011212</v>
          </cell>
          <cell r="H296">
            <v>1.4728107349313426</v>
          </cell>
        </row>
        <row r="298">
          <cell r="B298" t="str">
            <v>RAW  MATERIAL  TURNOVER</v>
          </cell>
          <cell r="C298" t="e">
            <v>#DIV/0!</v>
          </cell>
          <cell r="D298" t="e">
            <v>#DIV/0!</v>
          </cell>
          <cell r="E298" t="e">
            <v>#DIV/0!</v>
          </cell>
          <cell r="F298" t="e">
            <v>#DIV/0!</v>
          </cell>
          <cell r="G298" t="e">
            <v>#DIV/0!</v>
          </cell>
          <cell r="H298" t="e">
            <v>#DIV/0!</v>
          </cell>
        </row>
        <row r="300">
          <cell r="B300" t="str">
            <v>INT./PBIT (%)</v>
          </cell>
          <cell r="C300">
            <v>0.37308160814032859</v>
          </cell>
          <cell r="D300">
            <v>0.3887436282618098</v>
          </cell>
          <cell r="E300">
            <v>0.48263193052772124</v>
          </cell>
          <cell r="F300">
            <v>0.37185681537647725</v>
          </cell>
          <cell r="G300">
            <v>0.26917149864184825</v>
          </cell>
          <cell r="H300">
            <v>0.23451015160918512</v>
          </cell>
        </row>
        <row r="301">
          <cell r="B301" t="str">
            <v>=</v>
          </cell>
          <cell r="C301" t="str">
            <v>=</v>
          </cell>
          <cell r="D301" t="str">
            <v>=</v>
          </cell>
          <cell r="E301" t="str">
            <v>=</v>
          </cell>
          <cell r="F301" t="str">
            <v>=</v>
          </cell>
          <cell r="G301" t="str">
            <v>=</v>
          </cell>
          <cell r="H301" t="str">
            <v>=</v>
          </cell>
        </row>
        <row r="332">
          <cell r="B332" t="str">
            <v>-</v>
          </cell>
          <cell r="C332" t="str">
            <v>-</v>
          </cell>
          <cell r="D332" t="str">
            <v>-</v>
          </cell>
          <cell r="E332" t="str">
            <v>-</v>
          </cell>
          <cell r="F332" t="str">
            <v>-</v>
          </cell>
          <cell r="G332" t="str">
            <v>-</v>
          </cell>
          <cell r="H332" t="str">
            <v>-</v>
          </cell>
        </row>
        <row r="333">
          <cell r="B333" t="str">
            <v>PARTICULARS</v>
          </cell>
          <cell r="C333" t="str">
            <v>1997-98</v>
          </cell>
          <cell r="D333" t="str">
            <v>1998-99</v>
          </cell>
          <cell r="E333" t="str">
            <v>1999-00</v>
          </cell>
          <cell r="F333" t="str">
            <v>2000-01</v>
          </cell>
          <cell r="G333" t="str">
            <v>2001-02</v>
          </cell>
          <cell r="H333" t="str">
            <v>2002-03</v>
          </cell>
        </row>
        <row r="334">
          <cell r="B334" t="str">
            <v>-</v>
          </cell>
          <cell r="C334" t="str">
            <v>-</v>
          </cell>
          <cell r="D334" t="str">
            <v>-</v>
          </cell>
          <cell r="E334" t="str">
            <v>-</v>
          </cell>
          <cell r="F334" t="str">
            <v>-</v>
          </cell>
          <cell r="G334" t="str">
            <v>-</v>
          </cell>
          <cell r="H334" t="str">
            <v>-</v>
          </cell>
        </row>
        <row r="335">
          <cell r="B335" t="str">
            <v>GROSS REVENUE</v>
          </cell>
          <cell r="C335">
            <v>1379.5</v>
          </cell>
          <cell r="D335">
            <v>1106.23</v>
          </cell>
          <cell r="E335">
            <v>2222.2400000000002</v>
          </cell>
          <cell r="F335">
            <v>2637.6499999999996</v>
          </cell>
          <cell r="G335">
            <v>3111.3100000000004</v>
          </cell>
          <cell r="H335">
            <v>4766.6869999999999</v>
          </cell>
        </row>
        <row r="337">
          <cell r="B337" t="str">
            <v>GROWTH IN QUANTITY</v>
          </cell>
        </row>
        <row r="338">
          <cell r="B338" t="str">
            <v>GROWTH   IN  %</v>
          </cell>
          <cell r="C338" t="e">
            <v>#REF!</v>
          </cell>
          <cell r="D338">
            <v>-0.19809351214208046</v>
          </cell>
          <cell r="E338">
            <v>1.0088408378004576</v>
          </cell>
          <cell r="F338">
            <v>0.18693300453596343</v>
          </cell>
          <cell r="G338">
            <v>0.17957651697533822</v>
          </cell>
          <cell r="H338">
            <v>0.5320514509965254</v>
          </cell>
        </row>
        <row r="340">
          <cell r="B340" t="str">
            <v>PROFIT BEFORE TAX</v>
          </cell>
          <cell r="C340">
            <v>99.61284999999998</v>
          </cell>
          <cell r="D340">
            <v>74.374019999999973</v>
          </cell>
          <cell r="E340">
            <v>77.450000000000273</v>
          </cell>
          <cell r="F340">
            <v>89.054999999999836</v>
          </cell>
          <cell r="G340">
            <v>121.88100000000122</v>
          </cell>
          <cell r="H340">
            <v>215.84900000000016</v>
          </cell>
        </row>
        <row r="342">
          <cell r="B342" t="str">
            <v>GROWTH   IN  %</v>
          </cell>
          <cell r="D342">
            <v>-0.25336921893109182</v>
          </cell>
          <cell r="E342">
            <v>4.1358259241604807E-2</v>
          </cell>
          <cell r="F342">
            <v>0.14983860555196285</v>
          </cell>
          <cell r="G342">
            <v>0.36860367188817522</v>
          </cell>
          <cell r="H342">
            <v>0.77098153116562873</v>
          </cell>
        </row>
        <row r="344">
          <cell r="B344" t="str">
            <v>PROFIT AFTER TAX</v>
          </cell>
          <cell r="C344">
            <v>99.61284999999998</v>
          </cell>
          <cell r="D344">
            <v>74.374019999999973</v>
          </cell>
          <cell r="E344">
            <v>77.450000000000273</v>
          </cell>
          <cell r="F344">
            <v>2.3149999999998414</v>
          </cell>
          <cell r="G344">
            <v>112.63100000000122</v>
          </cell>
          <cell r="H344">
            <v>198.84900000000016</v>
          </cell>
        </row>
        <row r="346">
          <cell r="B346" t="str">
            <v>DIVIDEND (%)</v>
          </cell>
          <cell r="C346">
            <v>0.54995417048579287</v>
          </cell>
          <cell r="D346">
            <v>0.4598353675844451</v>
          </cell>
          <cell r="E346">
            <v>0.41243258586432019</v>
          </cell>
          <cell r="F346">
            <v>0</v>
          </cell>
          <cell r="G346">
            <v>9.9908340971585713E-2</v>
          </cell>
          <cell r="H346">
            <v>0</v>
          </cell>
        </row>
        <row r="348">
          <cell r="B348" t="str">
            <v>SHARE CAPITAL</v>
          </cell>
          <cell r="C348">
            <v>32.729999999999997</v>
          </cell>
          <cell r="D348">
            <v>35.229999999999997</v>
          </cell>
          <cell r="E348">
            <v>35.229999999999997</v>
          </cell>
          <cell r="F348">
            <v>32.729999999999997</v>
          </cell>
          <cell r="G348">
            <v>32.729999999999997</v>
          </cell>
          <cell r="H348">
            <v>50.73</v>
          </cell>
        </row>
        <row r="350">
          <cell r="B350" t="str">
            <v>RESERVES</v>
          </cell>
          <cell r="C350">
            <v>138.5</v>
          </cell>
          <cell r="D350">
            <v>219.18</v>
          </cell>
          <cell r="E350">
            <v>282.08999999999997</v>
          </cell>
          <cell r="F350">
            <v>258.01</v>
          </cell>
          <cell r="G350">
            <v>367.36700000000002</v>
          </cell>
          <cell r="H350">
            <v>868.21699999999998</v>
          </cell>
        </row>
        <row r="352">
          <cell r="B352" t="str">
            <v>BORROWINGS</v>
          </cell>
          <cell r="C352">
            <v>312.99</v>
          </cell>
          <cell r="D352">
            <v>373.2</v>
          </cell>
          <cell r="E352">
            <v>445.56</v>
          </cell>
          <cell r="F352">
            <v>184.79</v>
          </cell>
          <cell r="G352">
            <v>395.6</v>
          </cell>
          <cell r="H352">
            <v>852.10500000000002</v>
          </cell>
        </row>
        <row r="354">
          <cell r="B354" t="str">
            <v>CAPITAL EMPLOYED</v>
          </cell>
          <cell r="C354">
            <v>502.47</v>
          </cell>
          <cell r="D354">
            <v>742.86</v>
          </cell>
          <cell r="E354">
            <v>793.38</v>
          </cell>
          <cell r="F354">
            <v>475.53</v>
          </cell>
          <cell r="G354">
            <v>795.69700000000012</v>
          </cell>
          <cell r="H354">
            <v>1784.9369999999999</v>
          </cell>
        </row>
        <row r="356">
          <cell r="B356" t="str">
            <v>NET WORTH</v>
          </cell>
          <cell r="C356">
            <v>171.23</v>
          </cell>
          <cell r="D356">
            <v>254.41</v>
          </cell>
          <cell r="E356">
            <v>317.32</v>
          </cell>
          <cell r="F356">
            <v>290.74</v>
          </cell>
          <cell r="G356">
            <v>400.09700000000004</v>
          </cell>
          <cell r="H356">
            <v>918.947</v>
          </cell>
        </row>
        <row r="358">
          <cell r="B358" t="str">
            <v>GROSS BLOCK</v>
          </cell>
          <cell r="C358">
            <v>314.74</v>
          </cell>
          <cell r="D358">
            <v>452.29</v>
          </cell>
          <cell r="E358">
            <v>453.95</v>
          </cell>
          <cell r="F358">
            <v>460.74</v>
          </cell>
          <cell r="G358">
            <v>813.14</v>
          </cell>
          <cell r="H358">
            <v>1436.258</v>
          </cell>
        </row>
        <row r="360">
          <cell r="B360" t="str">
            <v>NET BLOCK</v>
          </cell>
          <cell r="C360">
            <v>298.75</v>
          </cell>
          <cell r="D360">
            <v>418.85</v>
          </cell>
          <cell r="E360">
            <v>396.55</v>
          </cell>
          <cell r="F360">
            <v>269.77</v>
          </cell>
          <cell r="G360">
            <v>547.97</v>
          </cell>
          <cell r="H360">
            <v>1111.0840000000001</v>
          </cell>
        </row>
        <row r="361">
          <cell r="B361">
            <v>0</v>
          </cell>
        </row>
        <row r="362">
          <cell r="B362" t="str">
            <v>DEBT-EQUITY RATIO</v>
          </cell>
          <cell r="C362">
            <v>1.1655667815219297</v>
          </cell>
          <cell r="D362">
            <v>0.93180299516528442</v>
          </cell>
          <cell r="E362">
            <v>0.86241018530190339</v>
          </cell>
          <cell r="F362">
            <v>0.45979225424778153</v>
          </cell>
          <cell r="G362">
            <v>0.87386308820111114</v>
          </cell>
          <cell r="H362">
            <v>0.82356000944559371</v>
          </cell>
        </row>
        <row r="364">
          <cell r="B364" t="str">
            <v>NUMBER OF SHARES</v>
          </cell>
          <cell r="C364">
            <v>327299.99999999994</v>
          </cell>
          <cell r="D364">
            <v>327299.99999999994</v>
          </cell>
          <cell r="E364">
            <v>327299.99999999994</v>
          </cell>
          <cell r="F364">
            <v>327299.99999999994</v>
          </cell>
          <cell r="G364">
            <v>327299.99999999994</v>
          </cell>
          <cell r="H364">
            <v>327299.99999999994</v>
          </cell>
        </row>
        <row r="366">
          <cell r="B366" t="str">
            <v>BOOK VALUE PER SHARE AT YEAR END</v>
          </cell>
          <cell r="C366">
            <v>52.315918117934622</v>
          </cell>
          <cell r="D366">
            <v>77.729911396272556</v>
          </cell>
          <cell r="E366">
            <v>96.950809654751012</v>
          </cell>
          <cell r="F366">
            <v>88.829819737244136</v>
          </cell>
          <cell r="G366">
            <v>122.24167430491906</v>
          </cell>
          <cell r="H366">
            <v>280.76596394744888</v>
          </cell>
        </row>
        <row r="368">
          <cell r="B368" t="str">
            <v>EARNINGS PER SHARE</v>
          </cell>
          <cell r="C368">
            <v>30.434723495264286</v>
          </cell>
          <cell r="D368">
            <v>22.723501374885423</v>
          </cell>
          <cell r="E368">
            <v>23.663305835624897</v>
          </cell>
          <cell r="F368">
            <v>0.7073021692636241</v>
          </cell>
          <cell r="G368">
            <v>34.412160097770006</v>
          </cell>
          <cell r="H368">
            <v>60.754353803849746</v>
          </cell>
        </row>
        <row r="370">
          <cell r="B370" t="str">
            <v>NET SALES PER SHARE</v>
          </cell>
          <cell r="C370">
            <v>416.82859761686535</v>
          </cell>
          <cell r="D370">
            <v>0</v>
          </cell>
          <cell r="E370">
            <v>334.24381301558213</v>
          </cell>
          <cell r="F370">
            <v>0</v>
          </cell>
          <cell r="G370">
            <v>677.59853345554552</v>
          </cell>
          <cell r="H370">
            <v>0</v>
          </cell>
        </row>
        <row r="372">
          <cell r="B372" t="str">
            <v>DIVIDEND PER SHARE</v>
          </cell>
          <cell r="C372">
            <v>5.49954170485793</v>
          </cell>
          <cell r="D372">
            <v>0.14049354341107398</v>
          </cell>
          <cell r="E372">
            <v>4.9495875343721361</v>
          </cell>
          <cell r="F372">
            <v>0.12601056702240154</v>
          </cell>
          <cell r="G372">
            <v>4.4393522761992061</v>
          </cell>
          <cell r="H372">
            <v>0</v>
          </cell>
        </row>
        <row r="374">
          <cell r="B374" t="str">
            <v>PAY-OUT RATIO</v>
          </cell>
          <cell r="C374">
            <v>0.18069957841784473</v>
          </cell>
          <cell r="D374">
            <v>0.21781799612283972</v>
          </cell>
          <cell r="E374">
            <v>0.18760490639121946</v>
          </cell>
          <cell r="F374">
            <v>0</v>
          </cell>
          <cell r="G374">
            <v>2.9032859514698126E-2</v>
          </cell>
          <cell r="H374">
            <v>0</v>
          </cell>
        </row>
        <row r="376">
          <cell r="B376" t="str">
            <v>CURRENT RATIO</v>
          </cell>
          <cell r="C376">
            <v>1.3837134939245364</v>
          </cell>
          <cell r="D376">
            <v>1.7843336117408428</v>
          </cell>
          <cell r="E376">
            <v>2.09521022339284</v>
          </cell>
          <cell r="F376">
            <v>2.9369663485685584</v>
          </cell>
          <cell r="G376">
            <v>2.521364615210246</v>
          </cell>
          <cell r="H376">
            <v>3.5014525649645032</v>
          </cell>
        </row>
        <row r="378">
          <cell r="B378" t="str">
            <v>LIQUID RATIO</v>
          </cell>
          <cell r="C378">
            <v>1.0616073331912173</v>
          </cell>
          <cell r="D378">
            <v>1.4666507576661501</v>
          </cell>
          <cell r="E378">
            <v>1.8924495171202811</v>
          </cell>
          <cell r="F378">
            <v>2.2017830236062284</v>
          </cell>
          <cell r="G378">
            <v>1.5344742906796629</v>
          </cell>
          <cell r="H378">
            <v>1.7232169842160778</v>
          </cell>
        </row>
        <row r="379">
          <cell r="B379" t="str">
            <v>EVA (ECONOMIC VALUE ADDITION)</v>
          </cell>
          <cell r="C379" t="e">
            <v>#REF!</v>
          </cell>
          <cell r="D379" t="e">
            <v>#REF!</v>
          </cell>
          <cell r="E379" t="e">
            <v>#REF!</v>
          </cell>
          <cell r="F379" t="e">
            <v>#REF!</v>
          </cell>
          <cell r="G379" t="e">
            <v>#REF!</v>
          </cell>
          <cell r="H379" t="e">
            <v>#REF!</v>
          </cell>
        </row>
        <row r="381">
          <cell r="B381" t="str">
            <v>EVA (% OF CAPITAL EMPLOYED)</v>
          </cell>
          <cell r="C381" t="e">
            <v>#REF!</v>
          </cell>
          <cell r="D381" t="e">
            <v>#REF!</v>
          </cell>
          <cell r="E381" t="e">
            <v>#REF!</v>
          </cell>
          <cell r="F381" t="e">
            <v>#REF!</v>
          </cell>
          <cell r="G381" t="e">
            <v>#REF!</v>
          </cell>
          <cell r="H381" t="e">
            <v>#REF!</v>
          </cell>
        </row>
        <row r="383">
          <cell r="B383" t="str">
            <v>RETURN ON NET WORTH</v>
          </cell>
          <cell r="C383">
            <v>0.58174881738013196</v>
          </cell>
          <cell r="D383">
            <v>0.29233921622577719</v>
          </cell>
          <cell r="E383">
            <v>0.24407538131854367</v>
          </cell>
          <cell r="F383">
            <v>7.9624406686381009E-3</v>
          </cell>
          <cell r="G383">
            <v>0.28150923401075545</v>
          </cell>
          <cell r="H383">
            <v>0.21638788744073398</v>
          </cell>
        </row>
        <row r="385">
          <cell r="B385" t="str">
            <v>FIXED ASSETS  PER SHARE</v>
          </cell>
          <cell r="C385">
            <v>91.277115795905914</v>
          </cell>
          <cell r="D385">
            <v>127.97128017109688</v>
          </cell>
          <cell r="E385">
            <v>121.15795905896734</v>
          </cell>
          <cell r="F385">
            <v>82.422853651084651</v>
          </cell>
          <cell r="G385">
            <v>167.42132600061109</v>
          </cell>
          <cell r="H385">
            <v>339.46959975557598</v>
          </cell>
        </row>
        <row r="388">
          <cell r="B388" t="str">
            <v>=</v>
          </cell>
          <cell r="C388" t="str">
            <v>=</v>
          </cell>
          <cell r="D388" t="str">
            <v>=</v>
          </cell>
          <cell r="E388" t="str">
            <v>=</v>
          </cell>
          <cell r="F388" t="str">
            <v>=</v>
          </cell>
          <cell r="G388" t="str">
            <v>=</v>
          </cell>
          <cell r="H388" t="str">
            <v>=</v>
          </cell>
        </row>
      </sheetData>
      <sheetData sheetId="2">
        <row r="2">
          <cell r="B2" t="str">
            <v>WELLKNOWN  TEXTILE  INDUSTRIES  LIMITED</v>
          </cell>
        </row>
        <row r="3">
          <cell r="B3" t="str">
            <v>-</v>
          </cell>
          <cell r="C3" t="str">
            <v>-</v>
          </cell>
          <cell r="D3" t="str">
            <v>-</v>
          </cell>
          <cell r="E3">
            <v>0</v>
          </cell>
          <cell r="F3">
            <v>0</v>
          </cell>
          <cell r="G3">
            <v>0</v>
          </cell>
          <cell r="H3">
            <v>0</v>
          </cell>
        </row>
        <row r="4">
          <cell r="B4" t="str">
            <v>BALANCE    SHEET     FOR    LAST    SIX     YEARS</v>
          </cell>
        </row>
        <row r="5">
          <cell r="G5" t="str">
            <v>(RS.IN LACS)</v>
          </cell>
        </row>
        <row r="6">
          <cell r="B6" t="str">
            <v>-</v>
          </cell>
          <cell r="C6" t="str">
            <v>-</v>
          </cell>
          <cell r="D6" t="str">
            <v>-</v>
          </cell>
          <cell r="E6" t="str">
            <v>-</v>
          </cell>
          <cell r="F6" t="str">
            <v>-</v>
          </cell>
          <cell r="G6" t="str">
            <v>-</v>
          </cell>
          <cell r="H6" t="str">
            <v>-</v>
          </cell>
        </row>
        <row r="7">
          <cell r="B7" t="str">
            <v>PARTICULARS</v>
          </cell>
          <cell r="C7" t="str">
            <v>1997-98</v>
          </cell>
          <cell r="D7" t="str">
            <v>1998-99</v>
          </cell>
          <cell r="E7" t="str">
            <v>1999-00</v>
          </cell>
          <cell r="F7" t="str">
            <v>2000-01</v>
          </cell>
          <cell r="G7" t="str">
            <v>2001-02</v>
          </cell>
          <cell r="H7" t="str">
            <v>2002-03</v>
          </cell>
        </row>
        <row r="8">
          <cell r="B8" t="str">
            <v>-</v>
          </cell>
          <cell r="C8" t="str">
            <v>-</v>
          </cell>
          <cell r="D8" t="str">
            <v>-</v>
          </cell>
          <cell r="E8" t="str">
            <v>-</v>
          </cell>
          <cell r="F8" t="str">
            <v>-</v>
          </cell>
          <cell r="G8" t="str">
            <v>-</v>
          </cell>
          <cell r="H8" t="str">
            <v>-</v>
          </cell>
        </row>
        <row r="9">
          <cell r="B9" t="str">
            <v>SOURCES OF  FUNDS</v>
          </cell>
        </row>
        <row r="11">
          <cell r="B11" t="str">
            <v>Shareholders' Funds</v>
          </cell>
        </row>
        <row r="13">
          <cell r="B13" t="str">
            <v>a. Share  Capital</v>
          </cell>
          <cell r="C13">
            <v>265.87599999999998</v>
          </cell>
          <cell r="D13">
            <v>268.02600000000001</v>
          </cell>
          <cell r="E13">
            <v>248.03</v>
          </cell>
          <cell r="F13">
            <v>235.80600000000001</v>
          </cell>
          <cell r="G13">
            <v>220.01</v>
          </cell>
          <cell r="H13">
            <v>229.01</v>
          </cell>
        </row>
        <row r="14">
          <cell r="B14" t="str">
            <v xml:space="preserve">    Growth  %</v>
          </cell>
          <cell r="C14">
            <v>0</v>
          </cell>
          <cell r="D14">
            <v>8.0864764025336405E-3</v>
          </cell>
          <cell r="E14">
            <v>-7.4604702528859174E-2</v>
          </cell>
          <cell r="F14">
            <v>-4.9284360762810911E-2</v>
          </cell>
          <cell r="G14">
            <v>-6.6987269195864479E-2</v>
          </cell>
          <cell r="H14">
            <v>4.0907231489477752E-2</v>
          </cell>
        </row>
        <row r="16">
          <cell r="B16" t="str">
            <v>b. Share Application  Money</v>
          </cell>
          <cell r="C16">
            <v>0</v>
          </cell>
          <cell r="D16">
            <v>69.95</v>
          </cell>
          <cell r="E16">
            <v>119.49</v>
          </cell>
          <cell r="F16">
            <v>25.75</v>
          </cell>
          <cell r="G16">
            <v>91.35</v>
          </cell>
          <cell r="H16">
            <v>3.2</v>
          </cell>
        </row>
        <row r="17">
          <cell r="C17">
            <v>0</v>
          </cell>
          <cell r="D17">
            <v>0</v>
          </cell>
          <cell r="E17">
            <v>0</v>
          </cell>
          <cell r="F17">
            <v>0</v>
          </cell>
          <cell r="G17">
            <v>0</v>
          </cell>
          <cell r="H17">
            <v>0</v>
          </cell>
        </row>
        <row r="18">
          <cell r="B18" t="str">
            <v>c. Reserves and Surplus</v>
          </cell>
          <cell r="C18">
            <v>101.946</v>
          </cell>
          <cell r="D18">
            <v>226.69499999999999</v>
          </cell>
          <cell r="E18">
            <v>250.63</v>
          </cell>
          <cell r="F18">
            <v>189.11</v>
          </cell>
          <cell r="G18">
            <v>223.72</v>
          </cell>
          <cell r="H18">
            <v>446.13900000000001</v>
          </cell>
        </row>
        <row r="19">
          <cell r="B19" t="str">
            <v xml:space="preserve">    Growth  %</v>
          </cell>
          <cell r="C19">
            <v>0</v>
          </cell>
          <cell r="D19">
            <v>1.223677240892237</v>
          </cell>
          <cell r="E19">
            <v>0.10558239043648956</v>
          </cell>
          <cell r="F19">
            <v>-0.24546143717831059</v>
          </cell>
          <cell r="G19">
            <v>0.1830151763523874</v>
          </cell>
          <cell r="H19">
            <v>0.99418469515465768</v>
          </cell>
        </row>
        <row r="21">
          <cell r="C21" t="str">
            <v>-</v>
          </cell>
          <cell r="D21" t="str">
            <v>-</v>
          </cell>
          <cell r="E21" t="str">
            <v>-</v>
          </cell>
          <cell r="F21" t="str">
            <v>-</v>
          </cell>
          <cell r="G21" t="str">
            <v>-</v>
          </cell>
          <cell r="H21" t="str">
            <v>-</v>
          </cell>
        </row>
        <row r="22">
          <cell r="C22">
            <v>367.822</v>
          </cell>
          <cell r="D22">
            <v>564.67100000000005</v>
          </cell>
          <cell r="E22">
            <v>618.15</v>
          </cell>
          <cell r="F22">
            <v>450.66600000000005</v>
          </cell>
          <cell r="G22">
            <v>535.08000000000004</v>
          </cell>
          <cell r="H22">
            <v>678.34899999999993</v>
          </cell>
        </row>
        <row r="23">
          <cell r="C23" t="str">
            <v>-</v>
          </cell>
          <cell r="D23" t="str">
            <v>-</v>
          </cell>
          <cell r="E23" t="str">
            <v>-</v>
          </cell>
          <cell r="F23" t="str">
            <v>-</v>
          </cell>
          <cell r="G23" t="str">
            <v>-</v>
          </cell>
          <cell r="H23" t="str">
            <v>-</v>
          </cell>
        </row>
        <row r="24">
          <cell r="B24" t="str">
            <v>Loan  Funds</v>
          </cell>
          <cell r="C24">
            <v>0</v>
          </cell>
          <cell r="D24">
            <v>0</v>
          </cell>
          <cell r="E24">
            <v>0</v>
          </cell>
          <cell r="F24">
            <v>0</v>
          </cell>
          <cell r="G24">
            <v>0</v>
          </cell>
          <cell r="H24">
            <v>0</v>
          </cell>
        </row>
        <row r="26">
          <cell r="B26" t="str">
            <v>a. Secured  Loans</v>
          </cell>
          <cell r="C26">
            <v>384.58</v>
          </cell>
          <cell r="D26">
            <v>449.11799999999999</v>
          </cell>
          <cell r="E26">
            <v>755.16</v>
          </cell>
          <cell r="F26">
            <v>655.49</v>
          </cell>
          <cell r="G26">
            <v>382.80700000000002</v>
          </cell>
          <cell r="H26">
            <v>364.95400000000001</v>
          </cell>
        </row>
        <row r="27">
          <cell r="B27" t="str">
            <v xml:space="preserve">    Growth  %</v>
          </cell>
          <cell r="C27">
            <v>0</v>
          </cell>
          <cell r="D27">
            <v>0.16781423890997976</v>
          </cell>
          <cell r="E27">
            <v>0.68142893404405969</v>
          </cell>
          <cell r="F27">
            <v>-0.13198527464378404</v>
          </cell>
          <cell r="G27">
            <v>-0.41599871851591935</v>
          </cell>
          <cell r="H27">
            <v>-4.6637078214348246E-2</v>
          </cell>
        </row>
        <row r="29">
          <cell r="B29" t="str">
            <v>b.  Unsecured  Loans</v>
          </cell>
          <cell r="C29">
            <v>71.117000000000004</v>
          </cell>
          <cell r="D29">
            <v>194.89</v>
          </cell>
          <cell r="E29">
            <v>86.25</v>
          </cell>
          <cell r="F29">
            <v>13.775</v>
          </cell>
          <cell r="G29">
            <v>17.29</v>
          </cell>
          <cell r="H29">
            <v>84.9</v>
          </cell>
        </row>
        <row r="30">
          <cell r="C30" t="str">
            <v>-</v>
          </cell>
          <cell r="D30" t="str">
            <v>-</v>
          </cell>
          <cell r="E30" t="str">
            <v>-</v>
          </cell>
          <cell r="F30" t="str">
            <v>-</v>
          </cell>
          <cell r="G30" t="str">
            <v>-</v>
          </cell>
          <cell r="H30" t="str">
            <v>-</v>
          </cell>
        </row>
        <row r="31">
          <cell r="C31">
            <v>455.697</v>
          </cell>
          <cell r="D31">
            <v>644.00800000000004</v>
          </cell>
          <cell r="E31">
            <v>841.41</v>
          </cell>
          <cell r="F31">
            <v>669.26499999999999</v>
          </cell>
          <cell r="G31">
            <v>400.09700000000004</v>
          </cell>
          <cell r="H31">
            <v>449.85400000000004</v>
          </cell>
        </row>
        <row r="32">
          <cell r="C32" t="str">
            <v>-</v>
          </cell>
          <cell r="D32" t="str">
            <v>-</v>
          </cell>
          <cell r="E32" t="str">
            <v>-</v>
          </cell>
          <cell r="F32" t="str">
            <v>-</v>
          </cell>
          <cell r="G32" t="str">
            <v>-</v>
          </cell>
          <cell r="H32" t="str">
            <v>-</v>
          </cell>
        </row>
        <row r="34">
          <cell r="C34" t="str">
            <v>-</v>
          </cell>
          <cell r="D34" t="str">
            <v>-</v>
          </cell>
          <cell r="E34" t="str">
            <v>-</v>
          </cell>
          <cell r="F34" t="str">
            <v>-</v>
          </cell>
          <cell r="G34" t="str">
            <v>-</v>
          </cell>
          <cell r="H34" t="str">
            <v>-</v>
          </cell>
        </row>
        <row r="35">
          <cell r="B35" t="str">
            <v>TOTAL</v>
          </cell>
          <cell r="C35">
            <v>823.51900000000001</v>
          </cell>
          <cell r="D35">
            <v>1208.6790000000001</v>
          </cell>
          <cell r="E35">
            <v>1459.56</v>
          </cell>
          <cell r="F35">
            <v>1119.931</v>
          </cell>
          <cell r="G35">
            <v>935.17700000000013</v>
          </cell>
          <cell r="H35">
            <v>1128.203</v>
          </cell>
        </row>
        <row r="36">
          <cell r="C36" t="str">
            <v>=</v>
          </cell>
          <cell r="D36" t="str">
            <v>=</v>
          </cell>
          <cell r="E36" t="str">
            <v>=</v>
          </cell>
          <cell r="F36" t="str">
            <v>=</v>
          </cell>
          <cell r="G36" t="str">
            <v>=</v>
          </cell>
          <cell r="H36" t="str">
            <v>=</v>
          </cell>
        </row>
        <row r="38">
          <cell r="B38" t="str">
            <v>APPLICATION  OF  FUNDS</v>
          </cell>
        </row>
        <row r="40">
          <cell r="B40" t="str">
            <v>Fixed  Assets</v>
          </cell>
        </row>
        <row r="42">
          <cell r="B42" t="str">
            <v>Gross  Block</v>
          </cell>
          <cell r="C42">
            <v>692.09</v>
          </cell>
          <cell r="D42">
            <v>1022.12</v>
          </cell>
          <cell r="E42">
            <v>1194.46</v>
          </cell>
          <cell r="F42">
            <v>1227.2090000000001</v>
          </cell>
          <cell r="G42">
            <v>1191.136</v>
          </cell>
          <cell r="H42">
            <v>1191.6199999999999</v>
          </cell>
        </row>
        <row r="43">
          <cell r="B43" t="str">
            <v>Growth  %</v>
          </cell>
          <cell r="C43">
            <v>0</v>
          </cell>
          <cell r="D43">
            <v>0.4768599459607854</v>
          </cell>
          <cell r="E43">
            <v>0.16861033929479907</v>
          </cell>
          <cell r="F43">
            <v>2.7417410377911376E-2</v>
          </cell>
          <cell r="G43">
            <v>-2.939434114319573E-2</v>
          </cell>
          <cell r="H43">
            <v>4.0633479300426116E-4</v>
          </cell>
        </row>
        <row r="44">
          <cell r="B44">
            <v>0</v>
          </cell>
        </row>
        <row r="45">
          <cell r="B45" t="str">
            <v>Less: Depreciation</v>
          </cell>
          <cell r="C45">
            <v>114.96</v>
          </cell>
          <cell r="D45">
            <v>151.69999999999999</v>
          </cell>
          <cell r="E45">
            <v>199.53</v>
          </cell>
          <cell r="F45">
            <v>459.92</v>
          </cell>
          <cell r="G45">
            <v>602.54999999999995</v>
          </cell>
          <cell r="H45">
            <v>677.55</v>
          </cell>
        </row>
        <row r="46">
          <cell r="C46" t="str">
            <v>-</v>
          </cell>
          <cell r="D46" t="str">
            <v>-</v>
          </cell>
          <cell r="E46" t="str">
            <v>-</v>
          </cell>
          <cell r="F46" t="str">
            <v>-</v>
          </cell>
          <cell r="G46" t="str">
            <v>-</v>
          </cell>
          <cell r="H46" t="str">
            <v>-</v>
          </cell>
        </row>
        <row r="47">
          <cell r="B47" t="str">
            <v>Net  Block</v>
          </cell>
          <cell r="C47">
            <v>577.13</v>
          </cell>
          <cell r="D47">
            <v>870.42000000000007</v>
          </cell>
          <cell r="E47">
            <v>994.93000000000006</v>
          </cell>
          <cell r="F47">
            <v>767.28899999999999</v>
          </cell>
          <cell r="G47">
            <v>588.58600000000001</v>
          </cell>
          <cell r="H47">
            <v>514.06999999999994</v>
          </cell>
        </row>
        <row r="49">
          <cell r="B49" t="str">
            <v>Investments</v>
          </cell>
          <cell r="C49">
            <v>21.13</v>
          </cell>
          <cell r="D49">
            <v>56.418999999999997</v>
          </cell>
          <cell r="E49">
            <v>56.41</v>
          </cell>
          <cell r="F49">
            <v>49.79</v>
          </cell>
          <cell r="G49">
            <v>49.79</v>
          </cell>
          <cell r="H49">
            <v>249.79</v>
          </cell>
        </row>
        <row r="50">
          <cell r="B50" t="str">
            <v>Growth  %</v>
          </cell>
          <cell r="C50">
            <v>0</v>
          </cell>
          <cell r="D50">
            <v>1.6700899195456698</v>
          </cell>
          <cell r="E50">
            <v>-1.5952072883249156E-4</v>
          </cell>
          <cell r="F50">
            <v>-0.11735507888672217</v>
          </cell>
          <cell r="G50">
            <v>0</v>
          </cell>
          <cell r="H50">
            <v>4.0168708576019281</v>
          </cell>
        </row>
        <row r="52">
          <cell r="B52" t="str">
            <v>Current Assets, Loans &amp; Advances</v>
          </cell>
        </row>
        <row r="54">
          <cell r="B54" t="str">
            <v>a. Inventories</v>
          </cell>
          <cell r="C54">
            <v>59.53</v>
          </cell>
          <cell r="D54">
            <v>75.837000000000003</v>
          </cell>
          <cell r="E54">
            <v>114.19</v>
          </cell>
          <cell r="F54">
            <v>169.51</v>
          </cell>
          <cell r="G54">
            <v>144.63300000000001</v>
          </cell>
          <cell r="H54">
            <v>117.34699999999999</v>
          </cell>
        </row>
        <row r="56">
          <cell r="B56" t="str">
            <v>b. Sundry  Debtors</v>
          </cell>
          <cell r="C56">
            <v>52.31</v>
          </cell>
          <cell r="D56">
            <v>38.17</v>
          </cell>
          <cell r="E56">
            <v>84.45</v>
          </cell>
          <cell r="F56">
            <v>97.71</v>
          </cell>
          <cell r="G56">
            <v>126.718</v>
          </cell>
          <cell r="H56">
            <v>50.72</v>
          </cell>
        </row>
        <row r="58">
          <cell r="B58" t="str">
            <v>c.  Cash &amp; Bank Balances</v>
          </cell>
          <cell r="C58">
            <v>0.48</v>
          </cell>
          <cell r="D58">
            <v>0.54800000000000004</v>
          </cell>
          <cell r="E58">
            <v>5.32</v>
          </cell>
          <cell r="F58">
            <v>27.18</v>
          </cell>
          <cell r="G58">
            <v>1.7090000000000001</v>
          </cell>
          <cell r="H58">
            <v>1.8939999999999999</v>
          </cell>
        </row>
        <row r="60">
          <cell r="B60" t="str">
            <v>d.  Loans &amp;  Advances</v>
          </cell>
          <cell r="C60">
            <v>85.944000000000003</v>
          </cell>
          <cell r="D60">
            <v>200.56800000000001</v>
          </cell>
          <cell r="E60">
            <v>228.04</v>
          </cell>
          <cell r="F60">
            <v>12.129999999999999</v>
          </cell>
          <cell r="G60">
            <v>33.356999999999999</v>
          </cell>
          <cell r="H60">
            <v>61.322999999999993</v>
          </cell>
        </row>
        <row r="62">
          <cell r="B62" t="str">
            <v>e.  Deposits</v>
          </cell>
          <cell r="C62">
            <v>26.745999999999999</v>
          </cell>
          <cell r="D62">
            <v>2.82</v>
          </cell>
          <cell r="E62">
            <v>6.84</v>
          </cell>
          <cell r="F62">
            <v>6.84</v>
          </cell>
          <cell r="G62">
            <v>6.88</v>
          </cell>
          <cell r="H62">
            <v>8.1999999999999993</v>
          </cell>
        </row>
        <row r="64">
          <cell r="B64" t="str">
            <v>f. Trade  Investments</v>
          </cell>
          <cell r="C64">
            <v>29.998999999999999</v>
          </cell>
          <cell r="D64">
            <v>58.198999999999998</v>
          </cell>
          <cell r="E64">
            <v>58.198999999999998</v>
          </cell>
          <cell r="F64">
            <v>58.198999999999998</v>
          </cell>
          <cell r="G64">
            <v>58.198999999999998</v>
          </cell>
          <cell r="H64">
            <v>178.19900000000001</v>
          </cell>
        </row>
        <row r="65">
          <cell r="C65" t="str">
            <v>-</v>
          </cell>
          <cell r="D65" t="str">
            <v>-</v>
          </cell>
          <cell r="E65" t="str">
            <v>-</v>
          </cell>
          <cell r="F65" t="str">
            <v>-</v>
          </cell>
          <cell r="G65" t="str">
            <v>-</v>
          </cell>
          <cell r="H65" t="str">
            <v>-</v>
          </cell>
        </row>
        <row r="66">
          <cell r="C66">
            <v>255.00900000000001</v>
          </cell>
          <cell r="D66">
            <v>376.14200000000005</v>
          </cell>
          <cell r="E66">
            <v>497.03899999999999</v>
          </cell>
          <cell r="F66">
            <v>371.56899999999996</v>
          </cell>
          <cell r="G66">
            <v>371.49600000000004</v>
          </cell>
          <cell r="H66">
            <v>417.68299999999999</v>
          </cell>
        </row>
        <row r="68">
          <cell r="B68" t="str">
            <v>Less: Current  Liabilities</v>
          </cell>
          <cell r="C68">
            <v>35.774999999999999</v>
          </cell>
          <cell r="D68">
            <v>99.53</v>
          </cell>
          <cell r="E68">
            <v>93.27</v>
          </cell>
          <cell r="F68">
            <v>72.38</v>
          </cell>
          <cell r="G68">
            <v>77.563999999999993</v>
          </cell>
          <cell r="H68">
            <v>56.210999999999999</v>
          </cell>
        </row>
        <row r="69">
          <cell r="C69" t="str">
            <v>-</v>
          </cell>
          <cell r="D69" t="str">
            <v>-</v>
          </cell>
          <cell r="E69" t="str">
            <v>-</v>
          </cell>
          <cell r="F69" t="str">
            <v>-</v>
          </cell>
          <cell r="G69" t="str">
            <v>-</v>
          </cell>
          <cell r="H69" t="str">
            <v>-</v>
          </cell>
        </row>
        <row r="70">
          <cell r="B70" t="str">
            <v>Net  Current  Assets</v>
          </cell>
          <cell r="C70">
            <v>219.23400000000001</v>
          </cell>
          <cell r="D70">
            <v>276.61200000000008</v>
          </cell>
          <cell r="E70">
            <v>403.76900000000001</v>
          </cell>
          <cell r="F70">
            <v>299.18899999999996</v>
          </cell>
          <cell r="G70">
            <v>293.93200000000002</v>
          </cell>
          <cell r="H70">
            <v>361.47199999999998</v>
          </cell>
        </row>
        <row r="72">
          <cell r="B72" t="str">
            <v>Miscellaneous Expenditure</v>
          </cell>
          <cell r="C72">
            <v>6.0209999999999999</v>
          </cell>
          <cell r="D72">
            <v>5.23</v>
          </cell>
          <cell r="E72">
            <v>4.4405000000000001</v>
          </cell>
          <cell r="F72">
            <v>3.6559999999999997</v>
          </cell>
          <cell r="G72">
            <v>2.8719999999999999</v>
          </cell>
          <cell r="H72">
            <v>2.8719999999999999</v>
          </cell>
        </row>
        <row r="74">
          <cell r="B74" t="str">
            <v>(to the extent not written off or adjusted)</v>
          </cell>
        </row>
        <row r="76">
          <cell r="B76" t="str">
            <v>Preliminary  Expenses</v>
          </cell>
          <cell r="C76">
            <v>4</v>
          </cell>
          <cell r="D76">
            <v>3.44</v>
          </cell>
          <cell r="E76">
            <v>2.8759999999999999</v>
          </cell>
          <cell r="F76">
            <v>2.3159999999999998</v>
          </cell>
          <cell r="G76">
            <v>1.7549999999999999</v>
          </cell>
          <cell r="H76">
            <v>1.7549999999999999</v>
          </cell>
        </row>
        <row r="78">
          <cell r="B78" t="str">
            <v>Deferred  Revenue  Expenditure</v>
          </cell>
          <cell r="C78">
            <v>2.0209999999999999</v>
          </cell>
          <cell r="D78">
            <v>1.79</v>
          </cell>
          <cell r="E78">
            <v>1.5645</v>
          </cell>
          <cell r="F78">
            <v>1.34</v>
          </cell>
          <cell r="G78">
            <v>1.117</v>
          </cell>
          <cell r="H78">
            <v>1.117</v>
          </cell>
        </row>
        <row r="80">
          <cell r="C80" t="str">
            <v>-</v>
          </cell>
          <cell r="D80" t="str">
            <v>-</v>
          </cell>
          <cell r="E80" t="str">
            <v>-</v>
          </cell>
          <cell r="F80" t="str">
            <v>-</v>
          </cell>
          <cell r="G80" t="str">
            <v>-</v>
          </cell>
          <cell r="H80" t="str">
            <v>-</v>
          </cell>
        </row>
        <row r="81">
          <cell r="B81" t="str">
            <v>TOTAL….</v>
          </cell>
          <cell r="C81">
            <v>823.51499999999999</v>
          </cell>
          <cell r="D81">
            <v>1208.681</v>
          </cell>
          <cell r="E81">
            <v>1459.5495000000001</v>
          </cell>
          <cell r="F81">
            <v>1119.924</v>
          </cell>
          <cell r="G81">
            <v>935.18</v>
          </cell>
          <cell r="H81">
            <v>1128.204</v>
          </cell>
        </row>
        <row r="82">
          <cell r="C82" t="str">
            <v>=</v>
          </cell>
          <cell r="D82" t="str">
            <v>=</v>
          </cell>
          <cell r="E82" t="str">
            <v>=</v>
          </cell>
          <cell r="F82" t="str">
            <v>=</v>
          </cell>
          <cell r="G82" t="str">
            <v>=</v>
          </cell>
          <cell r="H82" t="str">
            <v>=</v>
          </cell>
        </row>
        <row r="86">
          <cell r="B86" t="str">
            <v>PROFIT  AND  LOSS  ACCOUNT  FOR  LAST SIX  YEARS</v>
          </cell>
        </row>
        <row r="87">
          <cell r="L87" t="str">
            <v>(RS.IN LACS)</v>
          </cell>
        </row>
        <row r="88">
          <cell r="B88" t="str">
            <v>-</v>
          </cell>
          <cell r="C88" t="str">
            <v>-</v>
          </cell>
          <cell r="D88" t="str">
            <v>-</v>
          </cell>
          <cell r="E88" t="str">
            <v>-</v>
          </cell>
          <cell r="F88" t="str">
            <v>-</v>
          </cell>
          <cell r="G88" t="str">
            <v>-</v>
          </cell>
          <cell r="H88" t="str">
            <v>-</v>
          </cell>
          <cell r="I88" t="str">
            <v>-</v>
          </cell>
          <cell r="J88" t="str">
            <v>-</v>
          </cell>
          <cell r="K88" t="str">
            <v>-</v>
          </cell>
          <cell r="L88" t="str">
            <v>-</v>
          </cell>
          <cell r="M88" t="str">
            <v>-</v>
          </cell>
          <cell r="N88" t="str">
            <v>-</v>
          </cell>
        </row>
        <row r="89">
          <cell r="B89" t="str">
            <v>PARTICULARS</v>
          </cell>
          <cell r="C89" t="str">
            <v>%</v>
          </cell>
          <cell r="D89" t="str">
            <v>1997-98</v>
          </cell>
          <cell r="E89" t="str">
            <v>%</v>
          </cell>
          <cell r="F89" t="str">
            <v>1998-99</v>
          </cell>
          <cell r="G89" t="str">
            <v>%</v>
          </cell>
          <cell r="H89" t="str">
            <v>1999-00</v>
          </cell>
          <cell r="I89" t="str">
            <v>%</v>
          </cell>
          <cell r="J89" t="str">
            <v>2000-01</v>
          </cell>
          <cell r="K89" t="str">
            <v>%</v>
          </cell>
          <cell r="L89" t="str">
            <v>2001-02</v>
          </cell>
          <cell r="M89" t="str">
            <v>%</v>
          </cell>
          <cell r="N89" t="str">
            <v>2002-03</v>
          </cell>
        </row>
        <row r="90">
          <cell r="B90" t="str">
            <v>-</v>
          </cell>
          <cell r="C90" t="str">
            <v>-</v>
          </cell>
          <cell r="D90" t="str">
            <v>-</v>
          </cell>
          <cell r="E90" t="str">
            <v>-</v>
          </cell>
          <cell r="F90" t="str">
            <v>-</v>
          </cell>
          <cell r="G90" t="str">
            <v>-</v>
          </cell>
          <cell r="H90" t="str">
            <v>-</v>
          </cell>
          <cell r="I90" t="str">
            <v>-</v>
          </cell>
          <cell r="J90" t="str">
            <v>-</v>
          </cell>
          <cell r="K90" t="str">
            <v>-</v>
          </cell>
          <cell r="L90" t="str">
            <v>-</v>
          </cell>
          <cell r="M90" t="str">
            <v>-</v>
          </cell>
          <cell r="N90" t="str">
            <v>-</v>
          </cell>
        </row>
        <row r="91">
          <cell r="B91" t="str">
            <v>INCOME</v>
          </cell>
        </row>
        <row r="93">
          <cell r="B93" t="str">
            <v>Sales</v>
          </cell>
          <cell r="D93">
            <v>1485.4159999999999</v>
          </cell>
          <cell r="F93">
            <v>1881.23</v>
          </cell>
          <cell r="H93">
            <v>2279.5500000000002</v>
          </cell>
          <cell r="J93">
            <v>3320.87</v>
          </cell>
          <cell r="L93">
            <v>3040.25</v>
          </cell>
          <cell r="N93">
            <v>2565.75</v>
          </cell>
        </row>
        <row r="95">
          <cell r="B95" t="str">
            <v xml:space="preserve">Other  Income </v>
          </cell>
          <cell r="D95">
            <v>3.6259999999999999</v>
          </cell>
          <cell r="F95">
            <v>9.74</v>
          </cell>
          <cell r="H95">
            <v>5.09</v>
          </cell>
          <cell r="J95">
            <v>12.201000000000001</v>
          </cell>
          <cell r="L95">
            <v>1.774</v>
          </cell>
          <cell r="N95">
            <v>0.71</v>
          </cell>
        </row>
        <row r="97">
          <cell r="B97" t="str">
            <v>Increase/(Decrease)  in Stocks</v>
          </cell>
          <cell r="D97">
            <v>-9.4079999999999995</v>
          </cell>
          <cell r="F97">
            <v>10.08</v>
          </cell>
          <cell r="H97">
            <v>46.665999999999997</v>
          </cell>
          <cell r="J97">
            <v>28.847999999999999</v>
          </cell>
          <cell r="L97">
            <v>-57.044800000000002</v>
          </cell>
          <cell r="N97">
            <v>31.184000000000001</v>
          </cell>
        </row>
        <row r="98">
          <cell r="C98" t="str">
            <v>-</v>
          </cell>
          <cell r="D98" t="str">
            <v>-</v>
          </cell>
          <cell r="E98" t="str">
            <v>-</v>
          </cell>
          <cell r="F98" t="str">
            <v>-</v>
          </cell>
          <cell r="G98" t="str">
            <v>-</v>
          </cell>
          <cell r="H98" t="str">
            <v>-</v>
          </cell>
          <cell r="I98" t="str">
            <v>-</v>
          </cell>
          <cell r="J98" t="str">
            <v>-</v>
          </cell>
          <cell r="K98" t="str">
            <v>-</v>
          </cell>
          <cell r="L98" t="str">
            <v>-</v>
          </cell>
          <cell r="M98" t="str">
            <v>-</v>
          </cell>
          <cell r="N98" t="str">
            <v>-</v>
          </cell>
        </row>
        <row r="99">
          <cell r="B99" t="str">
            <v>TOTAL  INCOME</v>
          </cell>
          <cell r="C99">
            <v>1</v>
          </cell>
          <cell r="D99">
            <v>1479.634</v>
          </cell>
          <cell r="E99">
            <v>1</v>
          </cell>
          <cell r="F99">
            <v>1901.05</v>
          </cell>
          <cell r="G99">
            <v>1</v>
          </cell>
          <cell r="H99">
            <v>2331.3060000000005</v>
          </cell>
          <cell r="I99">
            <v>1</v>
          </cell>
          <cell r="J99">
            <v>3361.9189999999999</v>
          </cell>
          <cell r="K99">
            <v>1</v>
          </cell>
          <cell r="L99">
            <v>2984.9791999999998</v>
          </cell>
          <cell r="M99">
            <v>1</v>
          </cell>
          <cell r="N99">
            <v>2597.6440000000002</v>
          </cell>
        </row>
        <row r="100">
          <cell r="C100" t="str">
            <v>-</v>
          </cell>
          <cell r="D100" t="str">
            <v>-</v>
          </cell>
          <cell r="E100" t="str">
            <v>-</v>
          </cell>
          <cell r="F100" t="str">
            <v>-</v>
          </cell>
          <cell r="G100" t="str">
            <v>-</v>
          </cell>
          <cell r="H100" t="str">
            <v>-</v>
          </cell>
          <cell r="I100" t="str">
            <v>-</v>
          </cell>
          <cell r="J100" t="str">
            <v>-</v>
          </cell>
          <cell r="K100" t="str">
            <v>-</v>
          </cell>
          <cell r="L100" t="str">
            <v>-</v>
          </cell>
          <cell r="M100" t="str">
            <v>-</v>
          </cell>
          <cell r="N100" t="str">
            <v>-</v>
          </cell>
        </row>
        <row r="102">
          <cell r="B102" t="str">
            <v>EXPENDITURE</v>
          </cell>
        </row>
        <row r="104">
          <cell r="B104" t="str">
            <v>Raw  Material  Consumed   Including</v>
          </cell>
          <cell r="C104">
            <v>0.79153831285304344</v>
          </cell>
          <cell r="D104">
            <v>1171.1870000000001</v>
          </cell>
          <cell r="E104">
            <v>0.95888375098166168</v>
          </cell>
          <cell r="F104">
            <v>1418.797</v>
          </cell>
          <cell r="G104">
            <v>1.2344039134002056</v>
          </cell>
          <cell r="H104">
            <v>1826.4659999999999</v>
          </cell>
          <cell r="I104">
            <v>1.7425687703851087</v>
          </cell>
          <cell r="J104">
            <v>2578.364</v>
          </cell>
          <cell r="K104">
            <v>1.514670519871806</v>
          </cell>
          <cell r="L104">
            <v>2241.1579999999999</v>
          </cell>
          <cell r="M104">
            <v>1.3701428866868428</v>
          </cell>
          <cell r="N104">
            <v>2027.31</v>
          </cell>
        </row>
        <row r="105">
          <cell r="B105" t="str">
            <v>Excise  Duty</v>
          </cell>
        </row>
        <row r="106">
          <cell r="C106">
            <v>0</v>
          </cell>
          <cell r="E106">
            <v>0</v>
          </cell>
          <cell r="G106">
            <v>0</v>
          </cell>
          <cell r="I106">
            <v>0</v>
          </cell>
          <cell r="K106">
            <v>0</v>
          </cell>
          <cell r="M106">
            <v>0</v>
          </cell>
        </row>
        <row r="107">
          <cell r="B107" t="str">
            <v>Power &amp; Fuel</v>
          </cell>
          <cell r="C107">
            <v>4.054989274374609E-2</v>
          </cell>
          <cell r="D107">
            <v>59.999000000000002</v>
          </cell>
          <cell r="E107">
            <v>0.10227529240339166</v>
          </cell>
          <cell r="F107">
            <v>151.33000000000001</v>
          </cell>
          <cell r="G107">
            <v>9.7365970233179291E-2</v>
          </cell>
          <cell r="H107">
            <v>144.066</v>
          </cell>
          <cell r="I107">
            <v>0.11339155493858616</v>
          </cell>
          <cell r="J107">
            <v>167.77799999999999</v>
          </cell>
          <cell r="K107">
            <v>0.10498542207059314</v>
          </cell>
          <cell r="L107">
            <v>155.34</v>
          </cell>
          <cell r="M107">
            <v>8.5830009313113922E-2</v>
          </cell>
          <cell r="N107">
            <v>126.997</v>
          </cell>
        </row>
        <row r="109">
          <cell r="B109" t="str">
            <v>Other  Manufacturing   Expenses</v>
          </cell>
          <cell r="C109">
            <v>3.8521688471608515E-2</v>
          </cell>
          <cell r="D109">
            <v>56.997999999999998</v>
          </cell>
          <cell r="E109">
            <v>5.6162537492379865E-2</v>
          </cell>
          <cell r="F109">
            <v>83.1</v>
          </cell>
          <cell r="G109">
            <v>7.3072800435783444E-2</v>
          </cell>
          <cell r="H109">
            <v>108.12100000000001</v>
          </cell>
          <cell r="I109">
            <v>0.11925787052744125</v>
          </cell>
          <cell r="J109">
            <v>176.458</v>
          </cell>
          <cell r="K109">
            <v>0.10323904425013213</v>
          </cell>
          <cell r="L109">
            <v>152.756</v>
          </cell>
          <cell r="M109">
            <v>7.973120379769591E-2</v>
          </cell>
          <cell r="N109">
            <v>117.973</v>
          </cell>
        </row>
        <row r="110">
          <cell r="C110">
            <v>0</v>
          </cell>
          <cell r="E110">
            <v>0</v>
          </cell>
          <cell r="G110">
            <v>0</v>
          </cell>
          <cell r="I110">
            <v>0</v>
          </cell>
          <cell r="K110">
            <v>0</v>
          </cell>
          <cell r="M110">
            <v>0</v>
          </cell>
        </row>
        <row r="111">
          <cell r="B111" t="str">
            <v>Payment  To  Employees</v>
          </cell>
          <cell r="C111">
            <v>1.094595014713098E-2</v>
          </cell>
          <cell r="D111">
            <v>16.196000000000002</v>
          </cell>
          <cell r="E111">
            <v>2.0376660714744321E-2</v>
          </cell>
          <cell r="F111">
            <v>30.15</v>
          </cell>
          <cell r="G111">
            <v>1.8149758656532629E-2</v>
          </cell>
          <cell r="H111">
            <v>26.855</v>
          </cell>
          <cell r="I111">
            <v>2.1387721558169114E-2</v>
          </cell>
          <cell r="J111">
            <v>31.646000000000001</v>
          </cell>
          <cell r="K111">
            <v>2.3781556790395463E-2</v>
          </cell>
          <cell r="L111">
            <v>35.188000000000002</v>
          </cell>
          <cell r="M111">
            <v>2.5146759266142842E-2</v>
          </cell>
          <cell r="N111">
            <v>37.207999999999998</v>
          </cell>
        </row>
        <row r="112">
          <cell r="C112">
            <v>0</v>
          </cell>
          <cell r="E112">
            <v>0</v>
          </cell>
          <cell r="G112">
            <v>0</v>
          </cell>
          <cell r="I112">
            <v>0</v>
          </cell>
          <cell r="K112">
            <v>0</v>
          </cell>
          <cell r="M112">
            <v>0</v>
          </cell>
        </row>
        <row r="113">
          <cell r="B113" t="str">
            <v xml:space="preserve"> Administration   Exp.</v>
          </cell>
          <cell r="C113">
            <v>2.0258388223033535E-2</v>
          </cell>
          <cell r="D113">
            <v>29.975000000000001</v>
          </cell>
          <cell r="E113">
            <v>2.8574633997326366E-2</v>
          </cell>
          <cell r="F113">
            <v>42.28</v>
          </cell>
          <cell r="G113">
            <v>1.0943246775891875E-2</v>
          </cell>
          <cell r="H113">
            <v>16.192</v>
          </cell>
          <cell r="I113">
            <v>1.3677030941435516E-2</v>
          </cell>
          <cell r="J113">
            <v>20.236999999999998</v>
          </cell>
          <cell r="K113">
            <v>2.9901989275726293E-2</v>
          </cell>
          <cell r="L113">
            <v>44.244</v>
          </cell>
          <cell r="M113">
            <v>1.4313674868244445E-2</v>
          </cell>
          <cell r="N113">
            <v>21.179000000000002</v>
          </cell>
        </row>
        <row r="115">
          <cell r="B115" t="str">
            <v>Selling  &amp;  Distribution   Exp.</v>
          </cell>
          <cell r="C115">
            <v>1.3719609038451402E-4</v>
          </cell>
          <cell r="D115">
            <v>0.20300000000000001</v>
          </cell>
          <cell r="E115">
            <v>8.6169958246431208E-4</v>
          </cell>
          <cell r="F115">
            <v>1.2749999999999999</v>
          </cell>
          <cell r="G115">
            <v>9.7726870293599619E-4</v>
          </cell>
          <cell r="H115">
            <v>1.446</v>
          </cell>
          <cell r="I115">
            <v>7.7944951251458141E-3</v>
          </cell>
          <cell r="J115">
            <v>11.533000000000001</v>
          </cell>
          <cell r="K115">
            <v>6.8327708068346626E-3</v>
          </cell>
          <cell r="L115">
            <v>10.11</v>
          </cell>
          <cell r="M115">
            <v>1.3516856195518623E-4</v>
          </cell>
          <cell r="N115">
            <v>0.2</v>
          </cell>
        </row>
        <row r="116">
          <cell r="C116">
            <v>0</v>
          </cell>
          <cell r="E116">
            <v>0</v>
          </cell>
          <cell r="G116">
            <v>0</v>
          </cell>
          <cell r="I116">
            <v>0</v>
          </cell>
          <cell r="K116">
            <v>0</v>
          </cell>
          <cell r="M116">
            <v>0</v>
          </cell>
        </row>
        <row r="117">
          <cell r="B117" t="str">
            <v>Interest &amp; Finance Expenses</v>
          </cell>
          <cell r="C117">
            <v>3.3738073064014482E-2</v>
          </cell>
          <cell r="D117">
            <v>49.92</v>
          </cell>
          <cell r="E117">
            <v>4.8403862036152184E-2</v>
          </cell>
          <cell r="F117">
            <v>71.62</v>
          </cell>
          <cell r="G117">
            <v>6.6931416823349563E-2</v>
          </cell>
          <cell r="H117">
            <v>99.034000000000006</v>
          </cell>
          <cell r="I117">
            <v>7.4020332055089302E-2</v>
          </cell>
          <cell r="J117">
            <v>109.523</v>
          </cell>
          <cell r="K117">
            <v>4.1868462065618929E-2</v>
          </cell>
          <cell r="L117">
            <v>61.95</v>
          </cell>
          <cell r="M117">
            <v>2.5919923440526505E-2</v>
          </cell>
          <cell r="N117">
            <v>38.351999999999997</v>
          </cell>
        </row>
        <row r="118">
          <cell r="C118">
            <v>0</v>
          </cell>
          <cell r="E118">
            <v>0</v>
          </cell>
          <cell r="G118">
            <v>0</v>
          </cell>
          <cell r="I118">
            <v>0</v>
          </cell>
          <cell r="K118">
            <v>0</v>
          </cell>
          <cell r="M118">
            <v>0</v>
          </cell>
        </row>
        <row r="119">
          <cell r="B119" t="str">
            <v>Depreciation</v>
          </cell>
          <cell r="C119">
            <v>1.8428205894160311E-2</v>
          </cell>
          <cell r="D119">
            <v>27.266999999999999</v>
          </cell>
          <cell r="E119">
            <v>2.4833844045216585E-2</v>
          </cell>
          <cell r="F119">
            <v>36.744999999999997</v>
          </cell>
          <cell r="G119">
            <v>3.2323534063153456E-2</v>
          </cell>
          <cell r="H119">
            <v>47.826999999999998</v>
          </cell>
          <cell r="I119">
            <v>6.7954642837350324E-2</v>
          </cell>
          <cell r="J119">
            <v>100.548</v>
          </cell>
          <cell r="K119">
            <v>0.12006753021355282</v>
          </cell>
          <cell r="L119">
            <v>177.65600000000001</v>
          </cell>
          <cell r="M119">
            <v>5.0688210733194829E-2</v>
          </cell>
          <cell r="N119">
            <v>75</v>
          </cell>
        </row>
        <row r="120">
          <cell r="C120">
            <v>0</v>
          </cell>
          <cell r="E120">
            <v>0</v>
          </cell>
          <cell r="G120">
            <v>0</v>
          </cell>
          <cell r="I120">
            <v>0</v>
          </cell>
          <cell r="K120">
            <v>0</v>
          </cell>
          <cell r="M120">
            <v>0</v>
          </cell>
        </row>
        <row r="121">
          <cell r="B121" t="str">
            <v>Preliminary Expenses w/off</v>
          </cell>
          <cell r="C121">
            <v>5.2715739162522627E-4</v>
          </cell>
          <cell r="D121">
            <v>0.78</v>
          </cell>
          <cell r="E121">
            <v>5.2715739162522627E-4</v>
          </cell>
          <cell r="F121">
            <v>0.78</v>
          </cell>
          <cell r="G121">
            <v>5.2715739162522627E-4</v>
          </cell>
          <cell r="H121">
            <v>0.78</v>
          </cell>
          <cell r="I121">
            <v>5.2715739162522627E-4</v>
          </cell>
          <cell r="J121">
            <v>0.78</v>
          </cell>
          <cell r="K121">
            <v>5.2715739162522627E-4</v>
          </cell>
          <cell r="L121">
            <v>0.78</v>
          </cell>
          <cell r="M121">
            <v>0</v>
          </cell>
          <cell r="N121">
            <v>0</v>
          </cell>
        </row>
        <row r="122">
          <cell r="C122">
            <v>0</v>
          </cell>
          <cell r="E122">
            <v>0</v>
          </cell>
          <cell r="G122">
            <v>0</v>
          </cell>
          <cell r="I122">
            <v>0</v>
          </cell>
          <cell r="K122">
            <v>0</v>
          </cell>
          <cell r="M122">
            <v>0</v>
          </cell>
        </row>
        <row r="123">
          <cell r="C123">
            <v>0</v>
          </cell>
          <cell r="D123" t="str">
            <v>-</v>
          </cell>
          <cell r="E123">
            <v>0</v>
          </cell>
          <cell r="F123" t="str">
            <v>-</v>
          </cell>
          <cell r="G123">
            <v>0</v>
          </cell>
          <cell r="H123" t="str">
            <v>-</v>
          </cell>
          <cell r="I123">
            <v>0</v>
          </cell>
          <cell r="J123" t="str">
            <v>-</v>
          </cell>
          <cell r="K123">
            <v>0</v>
          </cell>
          <cell r="L123" t="str">
            <v>-</v>
          </cell>
          <cell r="M123">
            <v>0</v>
          </cell>
          <cell r="N123" t="str">
            <v>-</v>
          </cell>
        </row>
        <row r="124">
          <cell r="B124" t="str">
            <v>TOTAL  EXPENDITURE</v>
          </cell>
          <cell r="C124">
            <v>0.95464486487874711</v>
          </cell>
          <cell r="D124">
            <v>1412.5250000000001</v>
          </cell>
          <cell r="E124">
            <v>1.2408994386449621</v>
          </cell>
          <cell r="F124">
            <v>1836.077</v>
          </cell>
          <cell r="G124">
            <v>1.5346950664826571</v>
          </cell>
          <cell r="H124">
            <v>2270.7869999999998</v>
          </cell>
          <cell r="I124">
            <v>2.160579575759952</v>
          </cell>
          <cell r="J124">
            <v>3196.8670000000006</v>
          </cell>
          <cell r="K124">
            <v>1.945874452736285</v>
          </cell>
          <cell r="L124">
            <v>2879.1820000000002</v>
          </cell>
          <cell r="M124">
            <v>1.6519078366677162</v>
          </cell>
          <cell r="N124">
            <v>2444.2189999999996</v>
          </cell>
        </row>
        <row r="125">
          <cell r="C125">
            <v>0</v>
          </cell>
          <cell r="D125" t="str">
            <v>-</v>
          </cell>
          <cell r="E125">
            <v>0</v>
          </cell>
          <cell r="F125" t="str">
            <v>-</v>
          </cell>
          <cell r="G125">
            <v>0</v>
          </cell>
          <cell r="H125" t="str">
            <v>-</v>
          </cell>
          <cell r="I125">
            <v>0</v>
          </cell>
          <cell r="J125" t="str">
            <v>-</v>
          </cell>
          <cell r="K125">
            <v>0</v>
          </cell>
          <cell r="L125" t="str">
            <v>-</v>
          </cell>
          <cell r="M125">
            <v>0</v>
          </cell>
          <cell r="N125" t="str">
            <v>-</v>
          </cell>
        </row>
        <row r="126">
          <cell r="B126" t="str">
            <v>Profit/ Loss Before Tax</v>
          </cell>
          <cell r="C126">
            <v>4.5344997479106267E-2</v>
          </cell>
          <cell r="D126">
            <v>67.093999999999923</v>
          </cell>
          <cell r="E126">
            <v>4.3911534879571543E-2</v>
          </cell>
          <cell r="F126">
            <v>64.972999999999956</v>
          </cell>
          <cell r="G126">
            <v>4.0901331004830038E-2</v>
          </cell>
          <cell r="H126">
            <v>60.519000000000688</v>
          </cell>
          <cell r="I126">
            <v>0.11154920743913645</v>
          </cell>
          <cell r="J126">
            <v>165.05199999999923</v>
          </cell>
          <cell r="K126">
            <v>7.1502276914425816E-2</v>
          </cell>
          <cell r="L126">
            <v>105.79719999999952</v>
          </cell>
          <cell r="M126">
            <v>0.10369118308987266</v>
          </cell>
          <cell r="N126">
            <v>153.42500000000064</v>
          </cell>
        </row>
        <row r="127">
          <cell r="C127">
            <v>0</v>
          </cell>
          <cell r="E127">
            <v>0</v>
          </cell>
          <cell r="G127">
            <v>0</v>
          </cell>
          <cell r="I127">
            <v>0</v>
          </cell>
          <cell r="K127">
            <v>0</v>
          </cell>
          <cell r="M127">
            <v>0</v>
          </cell>
        </row>
        <row r="128">
          <cell r="B128" t="str">
            <v>Less: Provision For  Taxation</v>
          </cell>
          <cell r="C128">
            <v>0</v>
          </cell>
          <cell r="D128">
            <v>0</v>
          </cell>
          <cell r="E128">
            <v>0</v>
          </cell>
          <cell r="F128">
            <v>0</v>
          </cell>
          <cell r="G128">
            <v>3.3994893331729331E-4</v>
          </cell>
          <cell r="H128">
            <v>0.503</v>
          </cell>
          <cell r="I128">
            <v>3.04129264399169E-4</v>
          </cell>
          <cell r="J128">
            <v>0.45</v>
          </cell>
          <cell r="K128">
            <v>5.4067424782074484E-3</v>
          </cell>
          <cell r="L128">
            <v>8</v>
          </cell>
          <cell r="M128">
            <v>0</v>
          </cell>
          <cell r="N128">
            <v>0</v>
          </cell>
        </row>
        <row r="129">
          <cell r="C129">
            <v>0</v>
          </cell>
          <cell r="E129">
            <v>0</v>
          </cell>
          <cell r="G129">
            <v>0</v>
          </cell>
          <cell r="I129">
            <v>0</v>
          </cell>
          <cell r="K129">
            <v>0</v>
          </cell>
          <cell r="M129">
            <v>0</v>
          </cell>
        </row>
        <row r="130">
          <cell r="B130" t="str">
            <v xml:space="preserve"> Add: ( Depreciation written  back) / written off </v>
          </cell>
          <cell r="C130">
            <v>0</v>
          </cell>
          <cell r="D130">
            <v>0</v>
          </cell>
          <cell r="E130">
            <v>0</v>
          </cell>
          <cell r="F130">
            <v>0</v>
          </cell>
          <cell r="G130">
            <v>0</v>
          </cell>
          <cell r="H130">
            <v>0</v>
          </cell>
          <cell r="I130">
            <v>-0.10802671471458482</v>
          </cell>
          <cell r="J130">
            <v>-159.84</v>
          </cell>
          <cell r="K130">
            <v>0</v>
          </cell>
          <cell r="L130">
            <v>0</v>
          </cell>
          <cell r="M130">
            <v>-8.1101137173111727E-3</v>
          </cell>
          <cell r="N130">
            <v>-12</v>
          </cell>
        </row>
        <row r="131">
          <cell r="C131">
            <v>0</v>
          </cell>
          <cell r="D131" t="str">
            <v>-</v>
          </cell>
          <cell r="E131">
            <v>0</v>
          </cell>
          <cell r="F131" t="str">
            <v>-</v>
          </cell>
          <cell r="G131">
            <v>0</v>
          </cell>
          <cell r="H131" t="str">
            <v>-</v>
          </cell>
          <cell r="I131">
            <v>0</v>
          </cell>
          <cell r="J131" t="str">
            <v>-</v>
          </cell>
          <cell r="K131">
            <v>0</v>
          </cell>
          <cell r="L131" t="str">
            <v>-</v>
          </cell>
          <cell r="M131">
            <v>0</v>
          </cell>
          <cell r="N131" t="str">
            <v>-</v>
          </cell>
        </row>
        <row r="132">
          <cell r="B132" t="str">
            <v>Profit/Loss After  Taxation</v>
          </cell>
          <cell r="C132">
            <v>4.5344997479106267E-2</v>
          </cell>
          <cell r="D132">
            <v>67.093999999999923</v>
          </cell>
          <cell r="E132">
            <v>4.3911534879571543E-2</v>
          </cell>
          <cell r="F132">
            <v>64.972999999999956</v>
          </cell>
          <cell r="G132">
            <v>4.056138207151274E-2</v>
          </cell>
          <cell r="H132">
            <v>60.016000000000687</v>
          </cell>
          <cell r="I132">
            <v>3.2183634601524653E-3</v>
          </cell>
          <cell r="J132">
            <v>4.7619999999992331</v>
          </cell>
          <cell r="K132">
            <v>6.6095534436218364E-2</v>
          </cell>
          <cell r="L132">
            <v>97.797199999999521</v>
          </cell>
          <cell r="M132">
            <v>9.5581069372561486E-2</v>
          </cell>
          <cell r="N132">
            <v>141.42500000000064</v>
          </cell>
        </row>
        <row r="134">
          <cell r="B134" t="str">
            <v xml:space="preserve">Balance  b/f from Previous Year </v>
          </cell>
          <cell r="D134">
            <v>94.43</v>
          </cell>
          <cell r="F134">
            <v>62.023999999999944</v>
          </cell>
          <cell r="H134">
            <v>98.301999999999907</v>
          </cell>
          <cell r="J134">
            <v>133.31800000000061</v>
          </cell>
          <cell r="L134">
            <v>117.35999999999984</v>
          </cell>
          <cell r="N134">
            <v>196.61719999999937</v>
          </cell>
        </row>
        <row r="135">
          <cell r="C135">
            <v>0</v>
          </cell>
          <cell r="D135" t="str">
            <v>-</v>
          </cell>
          <cell r="E135">
            <v>0</v>
          </cell>
          <cell r="F135" t="str">
            <v>-</v>
          </cell>
          <cell r="G135">
            <v>0</v>
          </cell>
          <cell r="H135" t="str">
            <v>-</v>
          </cell>
          <cell r="I135">
            <v>0</v>
          </cell>
          <cell r="J135" t="str">
            <v>-</v>
          </cell>
          <cell r="K135">
            <v>0</v>
          </cell>
          <cell r="L135" t="str">
            <v>-</v>
          </cell>
          <cell r="M135">
            <v>0</v>
          </cell>
          <cell r="N135" t="str">
            <v>-</v>
          </cell>
        </row>
        <row r="136">
          <cell r="B136" t="str">
            <v>BALANCE AVAILABLE FOR APPROPRIATION</v>
          </cell>
          <cell r="D136">
            <v>161.52399999999994</v>
          </cell>
          <cell r="F136">
            <v>126.9969999999999</v>
          </cell>
          <cell r="H136">
            <v>158.31800000000061</v>
          </cell>
          <cell r="J136">
            <v>138.07999999999984</v>
          </cell>
          <cell r="L136">
            <v>215.15719999999936</v>
          </cell>
          <cell r="N136">
            <v>338.04219999999998</v>
          </cell>
        </row>
        <row r="137">
          <cell r="C137">
            <v>0</v>
          </cell>
          <cell r="D137" t="str">
            <v>=</v>
          </cell>
          <cell r="E137">
            <v>0</v>
          </cell>
          <cell r="F137" t="str">
            <v>=</v>
          </cell>
          <cell r="G137">
            <v>0</v>
          </cell>
          <cell r="H137" t="str">
            <v>=</v>
          </cell>
          <cell r="I137">
            <v>0</v>
          </cell>
          <cell r="J137" t="str">
            <v>=</v>
          </cell>
          <cell r="K137">
            <v>0</v>
          </cell>
          <cell r="L137" t="str">
            <v>=</v>
          </cell>
          <cell r="M137">
            <v>0</v>
          </cell>
          <cell r="N137" t="str">
            <v>=</v>
          </cell>
        </row>
        <row r="138">
          <cell r="B138" t="str">
            <v>APPROPRIATIONS</v>
          </cell>
        </row>
        <row r="140">
          <cell r="B140" t="str">
            <v>Total  Dividend</v>
          </cell>
          <cell r="C140">
            <v>9.6473544058132368E-2</v>
          </cell>
          <cell r="D140">
            <v>25.65</v>
          </cell>
          <cell r="E140">
            <v>9.4002074425615423E-2</v>
          </cell>
          <cell r="F140">
            <v>25.195</v>
          </cell>
          <cell r="G140">
            <v>0</v>
          </cell>
          <cell r="H140">
            <v>0</v>
          </cell>
          <cell r="I140">
            <v>0</v>
          </cell>
          <cell r="J140">
            <v>0</v>
          </cell>
          <cell r="K140" t="e">
            <v>#DIV/0!</v>
          </cell>
          <cell r="L140">
            <v>0</v>
          </cell>
          <cell r="M140" t="e">
            <v>#DIV/0!</v>
          </cell>
          <cell r="N140">
            <v>0</v>
          </cell>
        </row>
        <row r="141">
          <cell r="B141" t="str">
            <v>Interim  Dividend</v>
          </cell>
          <cell r="D141">
            <v>15.27</v>
          </cell>
          <cell r="F141">
            <v>22.905000000000001</v>
          </cell>
          <cell r="H141">
            <v>0</v>
          </cell>
          <cell r="J141">
            <v>0</v>
          </cell>
          <cell r="L141">
            <v>0</v>
          </cell>
          <cell r="N141">
            <v>0</v>
          </cell>
        </row>
        <row r="143">
          <cell r="B143" t="str">
            <v xml:space="preserve">Proposed Dividend </v>
          </cell>
          <cell r="C143">
            <v>0</v>
          </cell>
          <cell r="D143">
            <v>8.0500000000000007</v>
          </cell>
          <cell r="F143">
            <v>0</v>
          </cell>
          <cell r="H143">
            <v>0</v>
          </cell>
          <cell r="J143">
            <v>0</v>
          </cell>
          <cell r="L143">
            <v>0</v>
          </cell>
          <cell r="N143">
            <v>0</v>
          </cell>
        </row>
        <row r="145">
          <cell r="B145" t="str">
            <v xml:space="preserve"> Tax  on Dividends</v>
          </cell>
          <cell r="D145">
            <v>2.33</v>
          </cell>
          <cell r="F145">
            <v>2.29</v>
          </cell>
          <cell r="H145">
            <v>0</v>
          </cell>
          <cell r="J145">
            <v>0</v>
          </cell>
          <cell r="L145">
            <v>0</v>
          </cell>
          <cell r="N145">
            <v>0</v>
          </cell>
        </row>
        <row r="147">
          <cell r="B147" t="str">
            <v>Transfer to  Reserves</v>
          </cell>
          <cell r="D147">
            <v>73.849999999999994</v>
          </cell>
          <cell r="F147">
            <v>3.5</v>
          </cell>
          <cell r="H147">
            <v>25</v>
          </cell>
          <cell r="J147">
            <v>20.72</v>
          </cell>
          <cell r="L147">
            <v>18.54</v>
          </cell>
          <cell r="N147">
            <v>0</v>
          </cell>
        </row>
        <row r="149">
          <cell r="B149" t="str">
            <v>Balance Carried  to Balance Sheet</v>
          </cell>
          <cell r="D149">
            <v>62.023999999999944</v>
          </cell>
          <cell r="F149">
            <v>98.301999999999907</v>
          </cell>
          <cell r="H149">
            <v>133.31800000000061</v>
          </cell>
          <cell r="J149">
            <v>117.35999999999984</v>
          </cell>
          <cell r="L149">
            <v>196.61719999999937</v>
          </cell>
          <cell r="N149">
            <v>338.04219999999998</v>
          </cell>
        </row>
        <row r="150">
          <cell r="C150">
            <v>0</v>
          </cell>
          <cell r="D150" t="str">
            <v>-</v>
          </cell>
          <cell r="E150">
            <v>0</v>
          </cell>
          <cell r="F150" t="str">
            <v>-</v>
          </cell>
          <cell r="G150">
            <v>0</v>
          </cell>
          <cell r="H150" t="str">
            <v>-</v>
          </cell>
          <cell r="I150">
            <v>0</v>
          </cell>
          <cell r="J150" t="str">
            <v>-</v>
          </cell>
          <cell r="K150">
            <v>0</v>
          </cell>
          <cell r="L150" t="str">
            <v>-</v>
          </cell>
          <cell r="M150">
            <v>0</v>
          </cell>
          <cell r="N150" t="str">
            <v>-</v>
          </cell>
        </row>
        <row r="151">
          <cell r="D151">
            <v>161.52399999999994</v>
          </cell>
          <cell r="F151">
            <v>126.9969999999999</v>
          </cell>
          <cell r="H151">
            <v>158.31800000000061</v>
          </cell>
          <cell r="J151">
            <v>138.07999999999984</v>
          </cell>
          <cell r="L151">
            <v>215.15719999999936</v>
          </cell>
          <cell r="N151">
            <v>338.04219999999998</v>
          </cell>
        </row>
        <row r="152">
          <cell r="C152">
            <v>0</v>
          </cell>
          <cell r="D152" t="str">
            <v>=</v>
          </cell>
          <cell r="E152">
            <v>0</v>
          </cell>
          <cell r="F152" t="str">
            <v>=</v>
          </cell>
          <cell r="G152">
            <v>0</v>
          </cell>
          <cell r="H152" t="str">
            <v>=</v>
          </cell>
          <cell r="I152">
            <v>0</v>
          </cell>
          <cell r="J152" t="str">
            <v>=</v>
          </cell>
          <cell r="K152">
            <v>0</v>
          </cell>
          <cell r="L152" t="str">
            <v>=</v>
          </cell>
          <cell r="M152">
            <v>0</v>
          </cell>
          <cell r="N152" t="str">
            <v>=</v>
          </cell>
        </row>
        <row r="174">
          <cell r="B174" t="str">
            <v>DETAILS  FOR  CALCULATING RATIOS</v>
          </cell>
        </row>
        <row r="175">
          <cell r="G175" t="str">
            <v>(RS.IN LACS)</v>
          </cell>
        </row>
        <row r="176">
          <cell r="B176" t="str">
            <v>-</v>
          </cell>
          <cell r="C176" t="str">
            <v>-</v>
          </cell>
          <cell r="D176" t="str">
            <v>-</v>
          </cell>
          <cell r="E176" t="str">
            <v>-</v>
          </cell>
          <cell r="F176" t="str">
            <v>-</v>
          </cell>
          <cell r="G176" t="str">
            <v>-</v>
          </cell>
          <cell r="H176" t="str">
            <v>-</v>
          </cell>
        </row>
        <row r="177">
          <cell r="B177" t="str">
            <v>PARTICULARS</v>
          </cell>
          <cell r="C177" t="str">
            <v>1997-98</v>
          </cell>
          <cell r="D177" t="str">
            <v>1998-99</v>
          </cell>
          <cell r="E177" t="str">
            <v>1999-00</v>
          </cell>
          <cell r="F177" t="str">
            <v>2000-01</v>
          </cell>
          <cell r="G177" t="str">
            <v>2001-02</v>
          </cell>
          <cell r="H177" t="str">
            <v>2002-03</v>
          </cell>
        </row>
        <row r="178">
          <cell r="B178" t="str">
            <v>-</v>
          </cell>
          <cell r="C178" t="str">
            <v>-</v>
          </cell>
          <cell r="D178" t="str">
            <v>-</v>
          </cell>
          <cell r="E178" t="str">
            <v>-</v>
          </cell>
          <cell r="F178" t="str">
            <v>-</v>
          </cell>
          <cell r="G178" t="str">
            <v>-</v>
          </cell>
          <cell r="H178" t="str">
            <v>-</v>
          </cell>
        </row>
        <row r="179">
          <cell r="B179" t="str">
            <v>Total  Share  Capital</v>
          </cell>
          <cell r="C179">
            <v>265.87599999999998</v>
          </cell>
          <cell r="D179">
            <v>268.02600000000001</v>
          </cell>
          <cell r="E179">
            <v>248.03</v>
          </cell>
          <cell r="F179">
            <v>235.80600000000001</v>
          </cell>
          <cell r="G179">
            <v>220.01</v>
          </cell>
          <cell r="H179">
            <v>229.01</v>
          </cell>
        </row>
        <row r="181">
          <cell r="B181" t="str">
            <v>Total  Dividend</v>
          </cell>
          <cell r="C181">
            <v>25.65</v>
          </cell>
          <cell r="D181">
            <v>25.195</v>
          </cell>
          <cell r="E181">
            <v>0</v>
          </cell>
          <cell r="F181">
            <v>0</v>
          </cell>
          <cell r="G181">
            <v>0</v>
          </cell>
          <cell r="H181">
            <v>0</v>
          </cell>
        </row>
        <row r="183">
          <cell r="B183" t="str">
            <v>Loan  Funds</v>
          </cell>
          <cell r="C183">
            <v>455.697</v>
          </cell>
          <cell r="D183">
            <v>644.00800000000004</v>
          </cell>
          <cell r="E183">
            <v>841.41</v>
          </cell>
          <cell r="F183">
            <v>669.26499999999999</v>
          </cell>
          <cell r="G183">
            <v>400.09700000000004</v>
          </cell>
          <cell r="H183">
            <v>449.85400000000004</v>
          </cell>
        </row>
        <row r="185">
          <cell r="B185" t="str">
            <v>Term  Loans</v>
          </cell>
          <cell r="C185">
            <v>233.88</v>
          </cell>
          <cell r="D185">
            <v>292.82</v>
          </cell>
          <cell r="E185">
            <v>504.47999999999996</v>
          </cell>
          <cell r="F185">
            <v>544.1</v>
          </cell>
          <cell r="G185">
            <v>322.64</v>
          </cell>
          <cell r="H185">
            <v>263.04000000000002</v>
          </cell>
        </row>
        <row r="187">
          <cell r="B187" t="str">
            <v>Unsecured  Loan</v>
          </cell>
          <cell r="C187">
            <v>71.117000000000004</v>
          </cell>
          <cell r="D187">
            <v>194.89</v>
          </cell>
          <cell r="E187">
            <v>86.25</v>
          </cell>
          <cell r="F187">
            <v>13.775</v>
          </cell>
          <cell r="G187">
            <v>17.29</v>
          </cell>
          <cell r="H187">
            <v>84.9</v>
          </cell>
        </row>
        <row r="189">
          <cell r="B189" t="str">
            <v>Working  Capital  Loan</v>
          </cell>
          <cell r="C189">
            <v>150.69999999999999</v>
          </cell>
          <cell r="D189">
            <v>156.30000000000001</v>
          </cell>
          <cell r="E189">
            <v>250.68</v>
          </cell>
          <cell r="F189">
            <v>111.39</v>
          </cell>
          <cell r="G189">
            <v>60.167000000000002</v>
          </cell>
          <cell r="H189">
            <v>101.91</v>
          </cell>
        </row>
        <row r="191">
          <cell r="B191" t="str">
            <v>Debt</v>
          </cell>
          <cell r="C191">
            <v>233.88</v>
          </cell>
          <cell r="D191">
            <v>292.81800000000004</v>
          </cell>
          <cell r="E191">
            <v>504.47999999999996</v>
          </cell>
          <cell r="F191">
            <v>544.1</v>
          </cell>
          <cell r="G191">
            <v>322.64</v>
          </cell>
          <cell r="H191">
            <v>263.0440000000001</v>
          </cell>
        </row>
        <row r="193">
          <cell r="B193" t="str">
            <v>Current  Assets:</v>
          </cell>
        </row>
        <row r="195">
          <cell r="B195" t="str">
            <v>a. Inventories</v>
          </cell>
          <cell r="C195">
            <v>59.53</v>
          </cell>
          <cell r="D195">
            <v>75.837000000000003</v>
          </cell>
          <cell r="E195">
            <v>114.19</v>
          </cell>
          <cell r="F195">
            <v>169.51</v>
          </cell>
          <cell r="G195">
            <v>144.63300000000001</v>
          </cell>
          <cell r="H195">
            <v>117.34699999999999</v>
          </cell>
        </row>
        <row r="197">
          <cell r="B197" t="str">
            <v>b. Sundry  Debtors</v>
          </cell>
          <cell r="C197">
            <v>52.31</v>
          </cell>
          <cell r="D197">
            <v>38.17</v>
          </cell>
          <cell r="E197">
            <v>84.45</v>
          </cell>
          <cell r="F197">
            <v>97.71</v>
          </cell>
          <cell r="G197">
            <v>126.718</v>
          </cell>
          <cell r="H197">
            <v>50.72</v>
          </cell>
        </row>
        <row r="199">
          <cell r="B199" t="str">
            <v>c.  Cash &amp; Bank Balances</v>
          </cell>
          <cell r="C199">
            <v>0.48</v>
          </cell>
          <cell r="D199">
            <v>0.54800000000000004</v>
          </cell>
          <cell r="E199">
            <v>5.32</v>
          </cell>
          <cell r="F199">
            <v>27.18</v>
          </cell>
          <cell r="G199">
            <v>1.7090000000000001</v>
          </cell>
          <cell r="H199">
            <v>1.8939999999999999</v>
          </cell>
        </row>
        <row r="201">
          <cell r="B201" t="str">
            <v>d.  Loans &amp;  Advances</v>
          </cell>
          <cell r="C201">
            <v>85.944000000000003</v>
          </cell>
          <cell r="D201">
            <v>200.56800000000001</v>
          </cell>
          <cell r="E201">
            <v>228.04</v>
          </cell>
          <cell r="F201">
            <v>12.129999999999999</v>
          </cell>
          <cell r="G201">
            <v>33.356999999999999</v>
          </cell>
          <cell r="H201">
            <v>61.322999999999993</v>
          </cell>
        </row>
        <row r="203">
          <cell r="B203" t="str">
            <v>e.  Deposits</v>
          </cell>
          <cell r="C203">
            <v>26.745999999999999</v>
          </cell>
          <cell r="D203">
            <v>2.82</v>
          </cell>
          <cell r="E203">
            <v>6.84</v>
          </cell>
          <cell r="F203">
            <v>6.84</v>
          </cell>
          <cell r="G203">
            <v>6.88</v>
          </cell>
          <cell r="H203">
            <v>8.1999999999999993</v>
          </cell>
        </row>
        <row r="205">
          <cell r="B205" t="str">
            <v>f. Trade  Investments</v>
          </cell>
          <cell r="C205">
            <v>29.998999999999999</v>
          </cell>
          <cell r="D205">
            <v>58.198999999999998</v>
          </cell>
          <cell r="E205">
            <v>58.198999999999998</v>
          </cell>
          <cell r="F205">
            <v>58.198999999999998</v>
          </cell>
          <cell r="G205">
            <v>58.198999999999998</v>
          </cell>
          <cell r="H205">
            <v>178.19900000000001</v>
          </cell>
        </row>
        <row r="206">
          <cell r="C206" t="str">
            <v>-</v>
          </cell>
          <cell r="D206" t="str">
            <v>-</v>
          </cell>
          <cell r="E206" t="str">
            <v>-</v>
          </cell>
          <cell r="F206" t="str">
            <v>-</v>
          </cell>
          <cell r="G206" t="str">
            <v>-</v>
          </cell>
          <cell r="H206" t="str">
            <v>-</v>
          </cell>
        </row>
        <row r="207">
          <cell r="B207" t="str">
            <v xml:space="preserve">         Total Current  Assets</v>
          </cell>
          <cell r="C207">
            <v>255.00900000000001</v>
          </cell>
          <cell r="D207">
            <v>376.14200000000005</v>
          </cell>
          <cell r="E207">
            <v>497.03899999999999</v>
          </cell>
          <cell r="F207">
            <v>371.56899999999996</v>
          </cell>
          <cell r="G207">
            <v>371.49600000000004</v>
          </cell>
          <cell r="H207">
            <v>417.68299999999999</v>
          </cell>
        </row>
        <row r="209">
          <cell r="B209" t="str">
            <v>Current Liabilities</v>
          </cell>
          <cell r="C209">
            <v>35.774999999999999</v>
          </cell>
          <cell r="D209">
            <v>99.53</v>
          </cell>
          <cell r="E209">
            <v>93.27</v>
          </cell>
          <cell r="F209">
            <v>72.38</v>
          </cell>
          <cell r="G209">
            <v>77.563999999999993</v>
          </cell>
          <cell r="H209">
            <v>56.210999999999999</v>
          </cell>
        </row>
        <row r="210">
          <cell r="C210" t="str">
            <v>-</v>
          </cell>
          <cell r="D210" t="str">
            <v>-</v>
          </cell>
          <cell r="E210" t="str">
            <v>-</v>
          </cell>
          <cell r="F210" t="str">
            <v>-</v>
          </cell>
          <cell r="G210" t="str">
            <v>-</v>
          </cell>
          <cell r="H210" t="str">
            <v>-</v>
          </cell>
        </row>
        <row r="211">
          <cell r="B211" t="str">
            <v xml:space="preserve">         Total  Current Liabilities</v>
          </cell>
          <cell r="C211">
            <v>178.42499999999998</v>
          </cell>
          <cell r="D211">
            <v>255.83</v>
          </cell>
          <cell r="E211">
            <v>343.95</v>
          </cell>
          <cell r="F211">
            <v>183.76999999999998</v>
          </cell>
          <cell r="G211">
            <v>137.73099999999999</v>
          </cell>
          <cell r="H211">
            <v>158.12099999999998</v>
          </cell>
        </row>
        <row r="212">
          <cell r="C212" t="str">
            <v>-</v>
          </cell>
          <cell r="D212" t="str">
            <v>-</v>
          </cell>
          <cell r="E212" t="str">
            <v>-</v>
          </cell>
          <cell r="F212" t="str">
            <v>-</v>
          </cell>
          <cell r="G212" t="str">
            <v>-</v>
          </cell>
          <cell r="H212" t="str">
            <v>-</v>
          </cell>
        </row>
        <row r="213">
          <cell r="B213" t="str">
            <v xml:space="preserve">Working  Capital  </v>
          </cell>
          <cell r="C213">
            <v>76.584000000000032</v>
          </cell>
          <cell r="D213">
            <v>120.31200000000004</v>
          </cell>
          <cell r="E213">
            <v>153.089</v>
          </cell>
          <cell r="F213">
            <v>187.79899999999998</v>
          </cell>
          <cell r="G213">
            <v>233.76500000000004</v>
          </cell>
          <cell r="H213">
            <v>259.56200000000001</v>
          </cell>
        </row>
        <row r="215">
          <cell r="B215" t="str">
            <v>L.T. Funds</v>
          </cell>
          <cell r="C215">
            <v>668.81899999999996</v>
          </cell>
          <cell r="D215">
            <v>978.98900000000003</v>
          </cell>
          <cell r="E215">
            <v>1086.5139999999999</v>
          </cell>
          <cell r="F215">
            <v>980.47500000000002</v>
          </cell>
          <cell r="G215">
            <v>781.90500000000009</v>
          </cell>
          <cell r="H215">
            <v>1021.3380000000001</v>
          </cell>
        </row>
        <row r="217">
          <cell r="B217" t="str">
            <v>Turnover</v>
          </cell>
          <cell r="C217">
            <v>1485.4159999999999</v>
          </cell>
          <cell r="D217">
            <v>1881.23</v>
          </cell>
          <cell r="E217">
            <v>2279.5500000000002</v>
          </cell>
          <cell r="F217">
            <v>3320.87</v>
          </cell>
          <cell r="G217">
            <v>3040.25</v>
          </cell>
          <cell r="H217">
            <v>2565.75</v>
          </cell>
        </row>
        <row r="219">
          <cell r="B219" t="str">
            <v>Gross  Profit</v>
          </cell>
          <cell r="C219">
            <v>231.62699999999992</v>
          </cell>
          <cell r="D219">
            <v>359.26299999999992</v>
          </cell>
          <cell r="E219">
            <v>364.77400000000046</v>
          </cell>
          <cell r="F219">
            <v>563.24999999999989</v>
          </cell>
          <cell r="G219">
            <v>554.10320000000002</v>
          </cell>
          <cell r="H219">
            <v>414.44300000000021</v>
          </cell>
        </row>
        <row r="221">
          <cell r="B221" t="str">
            <v>Net Profit for the Year</v>
          </cell>
          <cell r="C221">
            <v>67.093999999999923</v>
          </cell>
          <cell r="D221">
            <v>64.972999999999956</v>
          </cell>
          <cell r="E221">
            <v>60.519000000000688</v>
          </cell>
          <cell r="F221">
            <v>165.05199999999923</v>
          </cell>
          <cell r="G221">
            <v>105.79719999999952</v>
          </cell>
          <cell r="H221">
            <v>153.42500000000064</v>
          </cell>
        </row>
        <row r="223">
          <cell r="B223" t="str">
            <v>Interest  &amp;  Finance  Charges</v>
          </cell>
          <cell r="C223">
            <v>49.92</v>
          </cell>
          <cell r="D223">
            <v>71.62</v>
          </cell>
          <cell r="E223">
            <v>99.034000000000006</v>
          </cell>
          <cell r="F223">
            <v>109.523</v>
          </cell>
          <cell r="G223">
            <v>61.95</v>
          </cell>
          <cell r="H223">
            <v>38.351999999999997</v>
          </cell>
        </row>
        <row r="225">
          <cell r="B225" t="str">
            <v>PBIT</v>
          </cell>
          <cell r="C225">
            <v>117.01399999999992</v>
          </cell>
          <cell r="D225">
            <v>136.59299999999996</v>
          </cell>
          <cell r="E225">
            <v>159.55300000000068</v>
          </cell>
          <cell r="F225">
            <v>274.57499999999925</v>
          </cell>
          <cell r="G225">
            <v>167.74719999999951</v>
          </cell>
          <cell r="H225">
            <v>191.77700000000064</v>
          </cell>
        </row>
        <row r="227">
          <cell r="B227" t="str">
            <v>=</v>
          </cell>
          <cell r="C227" t="str">
            <v>=</v>
          </cell>
          <cell r="D227" t="str">
            <v>=</v>
          </cell>
          <cell r="E227" t="str">
            <v>=</v>
          </cell>
          <cell r="F227" t="str">
            <v>=</v>
          </cell>
          <cell r="G227" t="str">
            <v>=</v>
          </cell>
          <cell r="H227" t="str">
            <v>=</v>
          </cell>
        </row>
        <row r="229">
          <cell r="B229" t="str">
            <v>CALCULATION  OF  VARIOUS  RATIOS</v>
          </cell>
        </row>
        <row r="231">
          <cell r="B231" t="str">
            <v>-</v>
          </cell>
          <cell r="C231" t="str">
            <v>-</v>
          </cell>
          <cell r="D231" t="str">
            <v>-</v>
          </cell>
          <cell r="E231" t="str">
            <v>-</v>
          </cell>
          <cell r="F231" t="str">
            <v>-</v>
          </cell>
          <cell r="G231" t="str">
            <v>-</v>
          </cell>
          <cell r="H231" t="str">
            <v>-</v>
          </cell>
        </row>
        <row r="232">
          <cell r="B232" t="str">
            <v>PARTICULARS</v>
          </cell>
          <cell r="C232" t="str">
            <v>1997-98</v>
          </cell>
          <cell r="D232" t="str">
            <v>1998-99</v>
          </cell>
          <cell r="E232" t="str">
            <v>1999-00</v>
          </cell>
          <cell r="F232" t="str">
            <v>2000-01</v>
          </cell>
          <cell r="G232" t="str">
            <v>2001-02</v>
          </cell>
          <cell r="H232" t="str">
            <v>2002-03</v>
          </cell>
        </row>
        <row r="233">
          <cell r="B233" t="str">
            <v>-</v>
          </cell>
          <cell r="C233" t="str">
            <v>-</v>
          </cell>
          <cell r="D233" t="str">
            <v>-</v>
          </cell>
          <cell r="E233" t="str">
            <v>-</v>
          </cell>
          <cell r="F233" t="str">
            <v>-</v>
          </cell>
          <cell r="G233" t="str">
            <v>-</v>
          </cell>
          <cell r="H233" t="str">
            <v>-</v>
          </cell>
        </row>
        <row r="234">
          <cell r="B234" t="str">
            <v>NET PROFIT AFTER TAX</v>
          </cell>
          <cell r="C234">
            <v>67.093999999999923</v>
          </cell>
          <cell r="D234">
            <v>64.972999999999956</v>
          </cell>
          <cell r="E234">
            <v>60.016000000000687</v>
          </cell>
          <cell r="F234">
            <v>4.7619999999992331</v>
          </cell>
          <cell r="G234">
            <v>97.797199999999521</v>
          </cell>
          <cell r="H234">
            <v>141.42500000000064</v>
          </cell>
        </row>
        <row r="236">
          <cell r="B236" t="str">
            <v>CASH PROFIT</v>
          </cell>
          <cell r="C236">
            <v>95.14099999999992</v>
          </cell>
          <cell r="D236">
            <v>102.49799999999996</v>
          </cell>
          <cell r="E236">
            <v>108.62300000000069</v>
          </cell>
          <cell r="F236">
            <v>106.08999999999924</v>
          </cell>
          <cell r="G236">
            <v>276.2331999999995</v>
          </cell>
          <cell r="H236">
            <v>216.42500000000064</v>
          </cell>
        </row>
        <row r="238">
          <cell r="B238" t="str">
            <v>EQUITY SHARE CAPITAL</v>
          </cell>
          <cell r="C238">
            <v>229.04599999999999</v>
          </cell>
          <cell r="D238">
            <v>229.04600000000002</v>
          </cell>
          <cell r="E238">
            <v>229.05</v>
          </cell>
          <cell r="F238">
            <v>216.82600000000002</v>
          </cell>
          <cell r="G238">
            <v>213.25399999999999</v>
          </cell>
          <cell r="H238">
            <v>213.25399999999999</v>
          </cell>
        </row>
        <row r="240">
          <cell r="B240" t="str">
            <v>PREFERENCE SHARE CAPITAL</v>
          </cell>
          <cell r="C240">
            <v>36.83</v>
          </cell>
          <cell r="D240">
            <v>38.979999999999997</v>
          </cell>
          <cell r="E240">
            <v>18.98</v>
          </cell>
          <cell r="F240">
            <v>18.98</v>
          </cell>
          <cell r="G240">
            <v>6.7560000000000002</v>
          </cell>
          <cell r="H240">
            <v>15.756</v>
          </cell>
        </row>
        <row r="242">
          <cell r="B242" t="str">
            <v>RESERVES &amp; SURPLUS</v>
          </cell>
          <cell r="C242">
            <v>101.946</v>
          </cell>
          <cell r="D242">
            <v>226.69499999999999</v>
          </cell>
          <cell r="E242">
            <v>250.63</v>
          </cell>
          <cell r="F242">
            <v>189.11</v>
          </cell>
          <cell r="G242">
            <v>223.72</v>
          </cell>
          <cell r="H242">
            <v>446.13900000000001</v>
          </cell>
        </row>
        <row r="244">
          <cell r="B244" t="str">
            <v>UNSECURED  LOAN</v>
          </cell>
          <cell r="C244">
            <v>71.117000000000004</v>
          </cell>
          <cell r="D244">
            <v>194.89</v>
          </cell>
          <cell r="E244">
            <v>86.25</v>
          </cell>
          <cell r="F244">
            <v>13.775</v>
          </cell>
          <cell r="G244">
            <v>17.29</v>
          </cell>
          <cell r="H244">
            <v>84.9</v>
          </cell>
        </row>
        <row r="246">
          <cell r="B246" t="str">
            <v>TERM LOANS</v>
          </cell>
          <cell r="C246">
            <v>233.88</v>
          </cell>
          <cell r="D246">
            <v>292.82</v>
          </cell>
          <cell r="E246">
            <v>504.47999999999996</v>
          </cell>
          <cell r="F246">
            <v>544.1</v>
          </cell>
          <cell r="G246">
            <v>322.64</v>
          </cell>
          <cell r="H246">
            <v>263.04000000000002</v>
          </cell>
        </row>
        <row r="248">
          <cell r="B248" t="str">
            <v>EQUITY SHARES OF Rs.10 EACH</v>
          </cell>
          <cell r="C248">
            <v>2290460</v>
          </cell>
          <cell r="D248">
            <v>2290460.0000000005</v>
          </cell>
          <cell r="E248">
            <v>2290500</v>
          </cell>
          <cell r="F248">
            <v>2168260.0000000005</v>
          </cell>
          <cell r="G248">
            <v>2132540</v>
          </cell>
          <cell r="H248">
            <v>2132540</v>
          </cell>
        </row>
        <row r="250">
          <cell r="B250" t="str">
            <v>EPS</v>
          </cell>
          <cell r="C250">
            <v>2.9292805811932943</v>
          </cell>
          <cell r="D250">
            <v>2.8366790950289436</v>
          </cell>
          <cell r="E250">
            <v>2.6202139270901847</v>
          </cell>
          <cell r="F250">
            <v>0.2196231079298254</v>
          </cell>
          <cell r="G250">
            <v>4.5859491498400748</v>
          </cell>
          <cell r="H250">
            <v>6.6317630618886696</v>
          </cell>
        </row>
        <row r="252">
          <cell r="B252" t="str">
            <v>CASH  EPS</v>
          </cell>
          <cell r="C252">
            <v>4.1537944343057687</v>
          </cell>
          <cell r="D252">
            <v>4.4749962889550545</v>
          </cell>
          <cell r="E252">
            <v>4.7423270028378388</v>
          </cell>
          <cell r="F252">
            <v>4.8928634019904997</v>
          </cell>
          <cell r="G252">
            <v>12.953248239188925</v>
          </cell>
          <cell r="H252">
            <v>10.148695921295761</v>
          </cell>
        </row>
        <row r="254">
          <cell r="B254" t="str">
            <v>DIVIDEND %</v>
          </cell>
          <cell r="C254">
            <v>9.6473544058132368E-2</v>
          </cell>
          <cell r="D254">
            <v>9.4002074425615423E-2</v>
          </cell>
          <cell r="E254">
            <v>0</v>
          </cell>
          <cell r="F254">
            <v>0</v>
          </cell>
          <cell r="G254">
            <v>0</v>
          </cell>
          <cell r="H254">
            <v>0</v>
          </cell>
        </row>
        <row r="256">
          <cell r="B256" t="str">
            <v>NET  WORTH</v>
          </cell>
          <cell r="C256">
            <v>363.822</v>
          </cell>
          <cell r="D256">
            <v>491.28100000000001</v>
          </cell>
          <cell r="E256">
            <v>495.78399999999999</v>
          </cell>
          <cell r="F256">
            <v>422.60000000000008</v>
          </cell>
          <cell r="G256">
            <v>441.97500000000002</v>
          </cell>
          <cell r="H256">
            <v>673.39400000000001</v>
          </cell>
        </row>
        <row r="258">
          <cell r="B258" t="str">
            <v>BOOK VALUE PER SHARE</v>
          </cell>
          <cell r="C258">
            <v>15.884232861521268</v>
          </cell>
          <cell r="D258">
            <v>21.449010242484039</v>
          </cell>
          <cell r="E258">
            <v>21.645230299061339</v>
          </cell>
          <cell r="F258">
            <v>19.490282530692813</v>
          </cell>
          <cell r="G258">
            <v>20.725285340485993</v>
          </cell>
          <cell r="H258">
            <v>31.577086479034392</v>
          </cell>
        </row>
        <row r="260">
          <cell r="B260" t="str">
            <v>DEBT -EQUITY RATIO</v>
          </cell>
          <cell r="C260">
            <v>0.53773057831098148</v>
          </cell>
          <cell r="D260">
            <v>0.42674202203240885</v>
          </cell>
          <cell r="E260">
            <v>0.8667534886278121</v>
          </cell>
          <cell r="F260">
            <v>1.2468633629332568</v>
          </cell>
          <cell r="G260">
            <v>0.70251379922267088</v>
          </cell>
          <cell r="H260">
            <v>0.34688920128604483</v>
          </cell>
        </row>
        <row r="262">
          <cell r="B262" t="str">
            <v>CURRENT  RATIO</v>
          </cell>
          <cell r="C262">
            <v>1.4292223623371167</v>
          </cell>
          <cell r="D262">
            <v>1.4702810460071143</v>
          </cell>
          <cell r="E262">
            <v>1.4450908562291032</v>
          </cell>
          <cell r="F262">
            <v>2.0219241443108231</v>
          </cell>
          <cell r="G262">
            <v>2.6972576979764908</v>
          </cell>
          <cell r="H262">
            <v>2.6415403393603634</v>
          </cell>
        </row>
        <row r="264">
          <cell r="B264" t="str">
            <v>LIQUID  RATIO</v>
          </cell>
          <cell r="C264">
            <v>1.0955807762365142</v>
          </cell>
          <cell r="D264">
            <v>1.1738459133018022</v>
          </cell>
          <cell r="E264">
            <v>1.1130949265881669</v>
          </cell>
          <cell r="F264">
            <v>1.0995211405561298</v>
          </cell>
          <cell r="G264">
            <v>1.6471455227944329</v>
          </cell>
          <cell r="H264">
            <v>1.8994061509856379</v>
          </cell>
        </row>
        <row r="265">
          <cell r="B265" t="str">
            <v>=</v>
          </cell>
          <cell r="C265" t="str">
            <v>=</v>
          </cell>
          <cell r="D265" t="str">
            <v>=</v>
          </cell>
          <cell r="E265" t="str">
            <v>=</v>
          </cell>
          <cell r="F265" t="str">
            <v>=</v>
          </cell>
          <cell r="G265" t="str">
            <v>=</v>
          </cell>
          <cell r="H265" t="str">
            <v>=</v>
          </cell>
        </row>
        <row r="267">
          <cell r="C267" t="str">
            <v>(RS.IN LACS)</v>
          </cell>
        </row>
        <row r="268">
          <cell r="B268" t="str">
            <v>-</v>
          </cell>
          <cell r="C268" t="str">
            <v>-</v>
          </cell>
          <cell r="D268" t="str">
            <v>-</v>
          </cell>
          <cell r="E268" t="str">
            <v>-</v>
          </cell>
          <cell r="F268" t="str">
            <v>-</v>
          </cell>
          <cell r="G268" t="str">
            <v>-</v>
          </cell>
          <cell r="H268" t="str">
            <v>-</v>
          </cell>
        </row>
        <row r="269">
          <cell r="B269" t="str">
            <v>PARTICULARS</v>
          </cell>
          <cell r="C269" t="str">
            <v>1997-98</v>
          </cell>
          <cell r="D269" t="str">
            <v>1998-99</v>
          </cell>
          <cell r="E269" t="str">
            <v>1999-00</v>
          </cell>
          <cell r="F269" t="str">
            <v>2000-01</v>
          </cell>
          <cell r="G269" t="str">
            <v>2001-02</v>
          </cell>
          <cell r="H269" t="str">
            <v>2002-03</v>
          </cell>
        </row>
        <row r="270">
          <cell r="B270" t="str">
            <v>-</v>
          </cell>
          <cell r="C270" t="str">
            <v>-</v>
          </cell>
          <cell r="D270" t="str">
            <v>-</v>
          </cell>
          <cell r="E270" t="str">
            <v>-</v>
          </cell>
          <cell r="F270" t="str">
            <v>-</v>
          </cell>
          <cell r="G270" t="str">
            <v>-</v>
          </cell>
          <cell r="H270" t="str">
            <v>-</v>
          </cell>
        </row>
        <row r="271">
          <cell r="B271" t="str">
            <v>FIXED  ASSETS/ L.T.FUNDS</v>
          </cell>
          <cell r="C271">
            <v>0.86290909797718074</v>
          </cell>
          <cell r="D271">
            <v>0.88910089898865063</v>
          </cell>
          <cell r="E271">
            <v>0.91570840320511304</v>
          </cell>
          <cell r="F271">
            <v>0.78256865294882583</v>
          </cell>
          <cell r="G271">
            <v>0.75275896688216593</v>
          </cell>
          <cell r="H271">
            <v>0.50332994562035283</v>
          </cell>
        </row>
        <row r="273">
          <cell r="B273" t="str">
            <v>RETURN  ON NET  WORTH</v>
          </cell>
          <cell r="D273">
            <v>0.1519653187978523</v>
          </cell>
          <cell r="E273">
            <v>0.12160496015966665</v>
          </cell>
          <cell r="F273">
            <v>1.0370389728042372E-2</v>
          </cell>
          <cell r="G273">
            <v>0.2262318480178111</v>
          </cell>
          <cell r="H273">
            <v>0.25359320547729158</v>
          </cell>
        </row>
        <row r="275">
          <cell r="B275" t="str">
            <v>RETURN ON  CAPITAL</v>
          </cell>
          <cell r="C275">
            <v>0.25235071988445718</v>
          </cell>
          <cell r="D275">
            <v>0.24241304948027412</v>
          </cell>
          <cell r="E275">
            <v>0.24197072934725916</v>
          </cell>
          <cell r="F275">
            <v>2.0194566720097167E-2</v>
          </cell>
          <cell r="G275">
            <v>0.44451252215808157</v>
          </cell>
          <cell r="H275">
            <v>0.61754945198899891</v>
          </cell>
        </row>
        <row r="277">
          <cell r="B277" t="str">
            <v>GROSS  PROFIT  RATIO</v>
          </cell>
          <cell r="C277">
            <v>0.15593409522988841</v>
          </cell>
          <cell r="D277">
            <v>0.19097239571982155</v>
          </cell>
          <cell r="E277">
            <v>0.16002017942137722</v>
          </cell>
          <cell r="F277">
            <v>0.16960916868170084</v>
          </cell>
          <cell r="G277">
            <v>0.18225580133212729</v>
          </cell>
          <cell r="H277">
            <v>0.16152898762545073</v>
          </cell>
        </row>
        <row r="279">
          <cell r="B279" t="str">
            <v>NET  PROFIT  RATIO</v>
          </cell>
          <cell r="C279">
            <v>4.5168491520220545E-2</v>
          </cell>
          <cell r="D279">
            <v>3.4537510033329236E-2</v>
          </cell>
          <cell r="E279">
            <v>2.6328003333991656E-2</v>
          </cell>
          <cell r="F279">
            <v>1.4339615823561998E-3</v>
          </cell>
          <cell r="G279">
            <v>3.2167486226461484E-2</v>
          </cell>
          <cell r="H279">
            <v>5.5120335184644112E-2</v>
          </cell>
        </row>
        <row r="281">
          <cell r="B281" t="str">
            <v>CAPITAL  TURNOVER RATIO</v>
          </cell>
          <cell r="C281">
            <v>5.5868750846259161</v>
          </cell>
          <cell r="D281">
            <v>7.0188339937170277</v>
          </cell>
          <cell r="E281">
            <v>9.1906221021650616</v>
          </cell>
          <cell r="F281">
            <v>14.083059803397708</v>
          </cell>
          <cell r="G281">
            <v>13.818690059542748</v>
          </cell>
          <cell r="H281">
            <v>11.203659228854635</v>
          </cell>
        </row>
        <row r="283">
          <cell r="B283" t="str">
            <v>WORKING  CAP.  TURNOVER</v>
          </cell>
          <cell r="C283">
            <v>19.395905149900752</v>
          </cell>
          <cell r="D283">
            <v>15.636262384467047</v>
          </cell>
          <cell r="E283">
            <v>14.890357896387071</v>
          </cell>
          <cell r="F283">
            <v>17.683108003769991</v>
          </cell>
          <cell r="G283">
            <v>13.005582529463348</v>
          </cell>
          <cell r="H283">
            <v>9.884921521640301</v>
          </cell>
        </row>
        <row r="285">
          <cell r="B285" t="str">
            <v>INT./PBIT (%)</v>
          </cell>
          <cell r="C285">
            <v>0.42661561864392322</v>
          </cell>
          <cell r="D285">
            <v>0.52433140790523691</v>
          </cell>
          <cell r="E285">
            <v>0.62069657104535536</v>
          </cell>
          <cell r="F285">
            <v>0.39888190840389803</v>
          </cell>
          <cell r="G285">
            <v>0.3693057171744159</v>
          </cell>
          <cell r="H285">
            <v>0.19998227107525859</v>
          </cell>
        </row>
        <row r="286">
          <cell r="B286" t="str">
            <v>=</v>
          </cell>
          <cell r="C286" t="str">
            <v>=</v>
          </cell>
          <cell r="D286" t="str">
            <v>=</v>
          </cell>
          <cell r="E286" t="str">
            <v>=</v>
          </cell>
          <cell r="F286" t="str">
            <v>=</v>
          </cell>
          <cell r="G286" t="str">
            <v>=</v>
          </cell>
          <cell r="H286" t="str">
            <v>=</v>
          </cell>
        </row>
        <row r="292">
          <cell r="B292" t="str">
            <v>-</v>
          </cell>
          <cell r="C292" t="str">
            <v>-</v>
          </cell>
          <cell r="D292" t="str">
            <v>-</v>
          </cell>
          <cell r="E292" t="str">
            <v>-</v>
          </cell>
          <cell r="F292" t="str">
            <v>-</v>
          </cell>
          <cell r="G292" t="str">
            <v>-</v>
          </cell>
          <cell r="H292" t="str">
            <v>-</v>
          </cell>
        </row>
        <row r="293">
          <cell r="B293" t="str">
            <v>PARTICULARS</v>
          </cell>
          <cell r="C293" t="str">
            <v>1997-98</v>
          </cell>
          <cell r="D293" t="str">
            <v>1998-99</v>
          </cell>
          <cell r="E293" t="str">
            <v>1999-00</v>
          </cell>
          <cell r="F293" t="str">
            <v>2000-01</v>
          </cell>
          <cell r="G293" t="str">
            <v>2001-02</v>
          </cell>
          <cell r="H293" t="str">
            <v>2002-03</v>
          </cell>
        </row>
        <row r="294">
          <cell r="B294" t="str">
            <v>-</v>
          </cell>
          <cell r="C294" t="str">
            <v>-</v>
          </cell>
          <cell r="D294" t="str">
            <v>-</v>
          </cell>
          <cell r="E294" t="str">
            <v>-</v>
          </cell>
          <cell r="F294" t="str">
            <v>-</v>
          </cell>
          <cell r="G294" t="str">
            <v>-</v>
          </cell>
          <cell r="H294" t="str">
            <v>-</v>
          </cell>
        </row>
        <row r="295">
          <cell r="B295" t="str">
            <v>GROSS REVENUE</v>
          </cell>
          <cell r="C295">
            <v>1479.634</v>
          </cell>
          <cell r="D295">
            <v>1901.05</v>
          </cell>
          <cell r="E295">
            <v>2331.3060000000005</v>
          </cell>
          <cell r="F295">
            <v>3361.9189999999999</v>
          </cell>
          <cell r="G295">
            <v>2984.9791999999998</v>
          </cell>
          <cell r="H295">
            <v>2597.6440000000002</v>
          </cell>
        </row>
        <row r="297">
          <cell r="B297" t="str">
            <v>GROWTH IN QUANTITY</v>
          </cell>
        </row>
        <row r="298">
          <cell r="B298" t="str">
            <v>GROWTH   IN  %</v>
          </cell>
          <cell r="C298" t="e">
            <v>#REF!</v>
          </cell>
          <cell r="D298">
            <v>0.28481097352453372</v>
          </cell>
          <cell r="E298">
            <v>0.22632545172404753</v>
          </cell>
          <cell r="F298">
            <v>0.4420753860711546</v>
          </cell>
          <cell r="G298">
            <v>-0.11212042883841047</v>
          </cell>
          <cell r="H298">
            <v>-0.1297614402137206</v>
          </cell>
        </row>
        <row r="300">
          <cell r="B300" t="str">
            <v>PROFIT BEFORE TAX</v>
          </cell>
          <cell r="C300">
            <v>67.093999999999923</v>
          </cell>
          <cell r="D300">
            <v>64.972999999999956</v>
          </cell>
          <cell r="E300">
            <v>60.519000000000688</v>
          </cell>
          <cell r="F300">
            <v>165.05199999999923</v>
          </cell>
          <cell r="G300">
            <v>105.79719999999952</v>
          </cell>
          <cell r="H300">
            <v>153.42500000000064</v>
          </cell>
        </row>
        <row r="302">
          <cell r="B302" t="str">
            <v>GROWTH   IN  %</v>
          </cell>
          <cell r="D302">
            <v>-3.1612364742003296E-2</v>
          </cell>
          <cell r="E302">
            <v>-6.8551552183203357E-2</v>
          </cell>
          <cell r="F302">
            <v>1.7272757315883829</v>
          </cell>
          <cell r="G302">
            <v>-0.35900685844461128</v>
          </cell>
          <cell r="H302">
            <v>0.45018015599657962</v>
          </cell>
        </row>
        <row r="304">
          <cell r="B304" t="str">
            <v>PROFIT AFTER TAX</v>
          </cell>
          <cell r="C304">
            <v>67.093999999999923</v>
          </cell>
          <cell r="D304">
            <v>64.972999999999956</v>
          </cell>
          <cell r="E304">
            <v>60.016000000000687</v>
          </cell>
          <cell r="F304">
            <v>3.2183634601524653E-3</v>
          </cell>
          <cell r="G304">
            <v>4.7619999999992331</v>
          </cell>
          <cell r="H304">
            <v>6.6095534436218364E-2</v>
          </cell>
        </row>
        <row r="306">
          <cell r="B306" t="str">
            <v>DIVIDEND (%)</v>
          </cell>
          <cell r="C306">
            <v>9.6473544058132368E-2</v>
          </cell>
          <cell r="D306">
            <v>9.4002074425615423E-2</v>
          </cell>
          <cell r="E306">
            <v>0</v>
          </cell>
          <cell r="F306">
            <v>0</v>
          </cell>
          <cell r="G306">
            <v>0</v>
          </cell>
          <cell r="H306">
            <v>0</v>
          </cell>
        </row>
        <row r="308">
          <cell r="B308" t="str">
            <v>SHARE CAPITAL</v>
          </cell>
          <cell r="C308">
            <v>265.87599999999998</v>
          </cell>
          <cell r="D308">
            <v>268.02600000000001</v>
          </cell>
          <cell r="E308">
            <v>248.03</v>
          </cell>
          <cell r="F308">
            <v>235.80600000000001</v>
          </cell>
          <cell r="G308">
            <v>220.01</v>
          </cell>
          <cell r="H308">
            <v>229.01</v>
          </cell>
        </row>
        <row r="310">
          <cell r="B310" t="str">
            <v>RESERVES</v>
          </cell>
          <cell r="C310">
            <v>101.946</v>
          </cell>
          <cell r="D310">
            <v>226.69499999999999</v>
          </cell>
          <cell r="E310">
            <v>250.63</v>
          </cell>
          <cell r="F310">
            <v>189.11</v>
          </cell>
          <cell r="G310">
            <v>223.72</v>
          </cell>
          <cell r="H310">
            <v>446.13900000000001</v>
          </cell>
        </row>
        <row r="312">
          <cell r="B312" t="str">
            <v>BORROWINGS</v>
          </cell>
          <cell r="C312">
            <v>384.58</v>
          </cell>
          <cell r="D312">
            <v>449.11799999999999</v>
          </cell>
          <cell r="E312">
            <v>755.16</v>
          </cell>
          <cell r="F312">
            <v>655.49</v>
          </cell>
          <cell r="G312">
            <v>382.80700000000002</v>
          </cell>
          <cell r="H312">
            <v>364.95400000000001</v>
          </cell>
        </row>
        <row r="314">
          <cell r="B314" t="str">
            <v>CAPITAL EMPLOYED</v>
          </cell>
          <cell r="C314">
            <v>823.51900000000001</v>
          </cell>
          <cell r="D314">
            <v>1208.6790000000001</v>
          </cell>
          <cell r="E314">
            <v>1459.56</v>
          </cell>
          <cell r="F314">
            <v>1119.931</v>
          </cell>
          <cell r="G314">
            <v>935.17700000000013</v>
          </cell>
          <cell r="H314">
            <v>1128.203</v>
          </cell>
        </row>
        <row r="316">
          <cell r="B316" t="str">
            <v>NET WORTH</v>
          </cell>
          <cell r="C316">
            <v>363.822</v>
          </cell>
          <cell r="D316">
            <v>491.28100000000001</v>
          </cell>
          <cell r="E316">
            <v>495.78399999999999</v>
          </cell>
          <cell r="F316">
            <v>422.60000000000008</v>
          </cell>
          <cell r="G316">
            <v>441.97500000000002</v>
          </cell>
          <cell r="H316">
            <v>673.39400000000001</v>
          </cell>
        </row>
        <row r="318">
          <cell r="B318" t="str">
            <v>GROSS BLOCK</v>
          </cell>
          <cell r="C318">
            <v>692.09</v>
          </cell>
          <cell r="D318">
            <v>1022.12</v>
          </cell>
          <cell r="E318">
            <v>1194.46</v>
          </cell>
          <cell r="F318">
            <v>1227.2090000000001</v>
          </cell>
          <cell r="G318">
            <v>1191.136</v>
          </cell>
          <cell r="H318">
            <v>1191.6199999999999</v>
          </cell>
        </row>
        <row r="320">
          <cell r="B320" t="str">
            <v>NET BLOCK</v>
          </cell>
          <cell r="C320">
            <v>577.13</v>
          </cell>
          <cell r="D320">
            <v>870.42000000000007</v>
          </cell>
          <cell r="E320">
            <v>994.93000000000006</v>
          </cell>
          <cell r="F320">
            <v>767.28899999999999</v>
          </cell>
          <cell r="G320">
            <v>588.58600000000001</v>
          </cell>
          <cell r="H320">
            <v>514.06999999999994</v>
          </cell>
        </row>
        <row r="321">
          <cell r="B321">
            <v>0</v>
          </cell>
        </row>
        <row r="322">
          <cell r="B322" t="str">
            <v>DEBT-EQUITY RATIO</v>
          </cell>
          <cell r="C322">
            <v>0.64284182924616984</v>
          </cell>
          <cell r="D322">
            <v>0.59602956352881553</v>
          </cell>
          <cell r="E322">
            <v>1.0175398964064994</v>
          </cell>
          <cell r="F322">
            <v>1.2875059157595834</v>
          </cell>
          <cell r="G322">
            <v>0.7299960405000282</v>
          </cell>
          <cell r="H322">
            <v>0.39062421108593198</v>
          </cell>
        </row>
        <row r="324">
          <cell r="B324" t="str">
            <v>NUMBER OF SHARES</v>
          </cell>
          <cell r="C324">
            <v>2290460</v>
          </cell>
          <cell r="D324">
            <v>2290460.0000000005</v>
          </cell>
          <cell r="E324">
            <v>2290500</v>
          </cell>
          <cell r="F324">
            <v>2168260.0000000005</v>
          </cell>
          <cell r="G324">
            <v>2132540</v>
          </cell>
          <cell r="H324">
            <v>2132540</v>
          </cell>
        </row>
        <row r="326">
          <cell r="B326" t="str">
            <v>BOOK VALUE PER SHARE AT YEAR END</v>
          </cell>
          <cell r="C326">
            <v>15.884232861521268</v>
          </cell>
          <cell r="D326">
            <v>21.449010242484039</v>
          </cell>
          <cell r="E326">
            <v>21.645230299061339</v>
          </cell>
          <cell r="F326">
            <v>19.490282530692813</v>
          </cell>
          <cell r="G326">
            <v>20.725285340485993</v>
          </cell>
          <cell r="H326">
            <v>31.577086479034392</v>
          </cell>
        </row>
        <row r="328">
          <cell r="B328" t="str">
            <v>EARNINGS PER SHARE</v>
          </cell>
          <cell r="C328">
            <v>2.9292805811932943</v>
          </cell>
          <cell r="D328">
            <v>2.8366790950289436</v>
          </cell>
          <cell r="E328">
            <v>2.6202139270901847</v>
          </cell>
          <cell r="F328">
            <v>0.2196231079298254</v>
          </cell>
          <cell r="G328">
            <v>4.5859491498400748</v>
          </cell>
          <cell r="H328">
            <v>6.6317630618886696</v>
          </cell>
        </row>
        <row r="330">
          <cell r="B330" t="str">
            <v>NET SALES PER SHARE</v>
          </cell>
          <cell r="C330">
            <v>64.852300411271102</v>
          </cell>
          <cell r="D330">
            <v>0</v>
          </cell>
          <cell r="E330">
            <v>82.131848941279202</v>
          </cell>
          <cell r="F330">
            <v>0</v>
          </cell>
          <cell r="G330">
            <v>106.89365732881916</v>
          </cell>
          <cell r="H330">
            <v>0</v>
          </cell>
        </row>
        <row r="332">
          <cell r="B332" t="str">
            <v>DIVIDEND PER SHARE</v>
          </cell>
          <cell r="C332">
            <v>1.1198623857216454</v>
          </cell>
          <cell r="D332">
            <v>4.1040696814445745E-3</v>
          </cell>
          <cell r="E332">
            <v>1.0999781707050862</v>
          </cell>
          <cell r="F332">
            <v>0</v>
          </cell>
          <cell r="G332">
            <v>0</v>
          </cell>
          <cell r="H332">
            <v>0</v>
          </cell>
        </row>
        <row r="334">
          <cell r="B334" t="str">
            <v>PAY-OUT RATIO</v>
          </cell>
          <cell r="C334">
            <v>0.38229946045846169</v>
          </cell>
          <cell r="D334">
            <v>0.38777646099148905</v>
          </cell>
          <cell r="E334">
            <v>0</v>
          </cell>
          <cell r="F334">
            <v>0</v>
          </cell>
          <cell r="G334">
            <v>0</v>
          </cell>
          <cell r="H334">
            <v>0</v>
          </cell>
        </row>
        <row r="336">
          <cell r="B336" t="str">
            <v>CURRENT RATIO</v>
          </cell>
          <cell r="C336">
            <v>1.4292223623371167</v>
          </cell>
          <cell r="D336">
            <v>1.4702810460071143</v>
          </cell>
          <cell r="E336">
            <v>1.4450908562291032</v>
          </cell>
          <cell r="F336">
            <v>2.0219241443108231</v>
          </cell>
          <cell r="G336">
            <v>2.6972576979764908</v>
          </cell>
          <cell r="H336">
            <v>2.6415403393603634</v>
          </cell>
        </row>
        <row r="338">
          <cell r="B338" t="str">
            <v>LIQUID RATIO</v>
          </cell>
          <cell r="C338">
            <v>1.0955807762365142</v>
          </cell>
          <cell r="D338">
            <v>1.1738459133018022</v>
          </cell>
          <cell r="E338">
            <v>1.1130949265881669</v>
          </cell>
          <cell r="F338">
            <v>1.0995211405561298</v>
          </cell>
          <cell r="G338">
            <v>1.6471455227944329</v>
          </cell>
          <cell r="H338">
            <v>1.8994061509856379</v>
          </cell>
        </row>
        <row r="339">
          <cell r="B339" t="str">
            <v>EVA (ECONOMIC VALUE ADDITION)</v>
          </cell>
          <cell r="C339" t="e">
            <v>#REF!</v>
          </cell>
          <cell r="D339" t="e">
            <v>#REF!</v>
          </cell>
          <cell r="E339" t="e">
            <v>#REF!</v>
          </cell>
          <cell r="F339" t="e">
            <v>#REF!</v>
          </cell>
          <cell r="G339" t="e">
            <v>#REF!</v>
          </cell>
          <cell r="H339" t="e">
            <v>#REF!</v>
          </cell>
        </row>
        <row r="341">
          <cell r="B341" t="str">
            <v>EVA (% OF CAPITAL EMPLOYED)</v>
          </cell>
          <cell r="C341" t="e">
            <v>#REF!</v>
          </cell>
          <cell r="D341" t="e">
            <v>#REF!</v>
          </cell>
          <cell r="E341" t="e">
            <v>#REF!</v>
          </cell>
          <cell r="F341" t="e">
            <v>#REF!</v>
          </cell>
          <cell r="G341" t="e">
            <v>#REF!</v>
          </cell>
          <cell r="H341" t="e">
            <v>#REF!</v>
          </cell>
        </row>
        <row r="343">
          <cell r="B343" t="str">
            <v>SOLVENCY RATIO</v>
          </cell>
          <cell r="C343">
            <v>2.6400735302966414</v>
          </cell>
          <cell r="D343">
            <v>2.2234587162502883</v>
          </cell>
          <cell r="E343">
            <v>2.2371533127645913</v>
          </cell>
          <cell r="F343">
            <v>3.9468833547162023</v>
          </cell>
          <cell r="G343">
            <v>4.2496658045333788</v>
          </cell>
          <cell r="H343">
            <v>3.3046907048016805</v>
          </cell>
        </row>
        <row r="345">
          <cell r="B345" t="str">
            <v>RETURN ON NET WORTH</v>
          </cell>
          <cell r="C345">
            <v>0.18441435647102133</v>
          </cell>
          <cell r="D345">
            <v>0.13225221410964388</v>
          </cell>
          <cell r="E345">
            <v>0.12105271650557639</v>
          </cell>
          <cell r="F345">
            <v>7.6156257930725622E-6</v>
          </cell>
          <cell r="G345">
            <v>1.0774365065895656E-2</v>
          </cell>
          <cell r="H345">
            <v>9.815284133244187E-5</v>
          </cell>
        </row>
        <row r="347">
          <cell r="B347" t="str">
            <v>FIXED ASSETS  PER SHARE</v>
          </cell>
          <cell r="C347">
            <v>25.197121975498373</v>
          </cell>
          <cell r="D347">
            <v>38.001973402722591</v>
          </cell>
          <cell r="E347">
            <v>43.437240777122902</v>
          </cell>
          <cell r="F347">
            <v>35.387315174379452</v>
          </cell>
          <cell r="G347">
            <v>27.600232586493103</v>
          </cell>
          <cell r="H347">
            <v>24.105995667138714</v>
          </cell>
        </row>
        <row r="350">
          <cell r="B350" t="str">
            <v>=</v>
          </cell>
          <cell r="C350" t="str">
            <v>=</v>
          </cell>
          <cell r="D350" t="str">
            <v>=</v>
          </cell>
          <cell r="E350" t="str">
            <v>=</v>
          </cell>
          <cell r="F350" t="str">
            <v>=</v>
          </cell>
          <cell r="G350" t="str">
            <v>=</v>
          </cell>
          <cell r="H350" t="str">
            <v>=</v>
          </cell>
        </row>
      </sheetData>
      <sheetData sheetId="3">
        <row r="2">
          <cell r="B2" t="str">
            <v>COMBINED</v>
          </cell>
        </row>
        <row r="3">
          <cell r="B3">
            <v>0</v>
          </cell>
          <cell r="C3">
            <v>0</v>
          </cell>
          <cell r="D3">
            <v>0</v>
          </cell>
          <cell r="E3">
            <v>0</v>
          </cell>
          <cell r="F3">
            <v>0</v>
          </cell>
          <cell r="G3">
            <v>0</v>
          </cell>
          <cell r="H3">
            <v>0</v>
          </cell>
        </row>
        <row r="4">
          <cell r="B4" t="str">
            <v>BALANCE    SHEET     FOR    LAST    SIX  YEARS</v>
          </cell>
        </row>
        <row r="6">
          <cell r="B6" t="str">
            <v>-</v>
          </cell>
          <cell r="C6" t="str">
            <v>-</v>
          </cell>
          <cell r="D6" t="str">
            <v>-</v>
          </cell>
          <cell r="E6" t="str">
            <v>-</v>
          </cell>
          <cell r="F6" t="str">
            <v>-</v>
          </cell>
          <cell r="G6" t="str">
            <v>-</v>
          </cell>
          <cell r="H6" t="str">
            <v>-</v>
          </cell>
        </row>
        <row r="7">
          <cell r="B7" t="str">
            <v>PARTICULARS</v>
          </cell>
          <cell r="C7" t="str">
            <v>1997-98</v>
          </cell>
          <cell r="D7" t="str">
            <v>1998-99</v>
          </cell>
          <cell r="E7" t="str">
            <v>1999-00</v>
          </cell>
          <cell r="F7" t="str">
            <v>2000-01</v>
          </cell>
          <cell r="G7" t="str">
            <v>2001-02</v>
          </cell>
          <cell r="H7" t="str">
            <v>2002-03</v>
          </cell>
        </row>
        <row r="8">
          <cell r="B8" t="str">
            <v>-</v>
          </cell>
          <cell r="C8" t="str">
            <v>-</v>
          </cell>
          <cell r="D8" t="str">
            <v>-</v>
          </cell>
          <cell r="E8" t="str">
            <v>-</v>
          </cell>
          <cell r="F8" t="str">
            <v>-</v>
          </cell>
          <cell r="G8" t="str">
            <v>-</v>
          </cell>
          <cell r="H8" t="str">
            <v>-</v>
          </cell>
        </row>
        <row r="9">
          <cell r="B9" t="str">
            <v>SOURCES OF  FUNDS</v>
          </cell>
        </row>
        <row r="11">
          <cell r="B11" t="str">
            <v>Shareholders' Funds</v>
          </cell>
        </row>
        <row r="13">
          <cell r="B13" t="str">
            <v>a. Share  Capital</v>
          </cell>
          <cell r="C13">
            <v>298.60599999999999</v>
          </cell>
          <cell r="D13">
            <v>303.25600000000003</v>
          </cell>
          <cell r="E13">
            <v>283.26</v>
          </cell>
          <cell r="F13">
            <v>268.536</v>
          </cell>
          <cell r="G13">
            <v>252.73999999999998</v>
          </cell>
          <cell r="H13">
            <v>279.74</v>
          </cell>
        </row>
        <row r="14">
          <cell r="B14" t="str">
            <v xml:space="preserve">    Growth  %</v>
          </cell>
          <cell r="D14">
            <v>1.5572359564108003E-2</v>
          </cell>
          <cell r="E14">
            <v>-6.5937689608779493E-2</v>
          </cell>
          <cell r="F14">
            <v>-5.1980512603261989E-2</v>
          </cell>
          <cell r="G14">
            <v>-5.8822653201060643E-2</v>
          </cell>
          <cell r="H14">
            <v>0.10682915248872371</v>
          </cell>
        </row>
        <row r="16">
          <cell r="B16" t="str">
            <v>b. Share Application  Money</v>
          </cell>
          <cell r="C16">
            <v>0</v>
          </cell>
          <cell r="D16">
            <v>69.95</v>
          </cell>
          <cell r="E16">
            <v>119.49</v>
          </cell>
          <cell r="F16">
            <v>25.75</v>
          </cell>
          <cell r="G16">
            <v>91.35</v>
          </cell>
          <cell r="H16">
            <v>3.2</v>
          </cell>
        </row>
        <row r="17">
          <cell r="C17">
            <v>0</v>
          </cell>
          <cell r="D17">
            <v>0</v>
          </cell>
          <cell r="E17">
            <v>0</v>
          </cell>
          <cell r="F17">
            <v>0</v>
          </cell>
          <cell r="G17">
            <v>0</v>
          </cell>
          <cell r="H17">
            <v>0</v>
          </cell>
        </row>
        <row r="18">
          <cell r="B18" t="str">
            <v>c. Reserves and Surplus</v>
          </cell>
          <cell r="C18">
            <v>240.446</v>
          </cell>
          <cell r="D18">
            <v>445.875</v>
          </cell>
          <cell r="E18">
            <v>532.72</v>
          </cell>
          <cell r="F18">
            <v>447.12</v>
          </cell>
          <cell r="G18">
            <v>591.08699999999999</v>
          </cell>
          <cell r="H18">
            <v>1314.356</v>
          </cell>
        </row>
        <row r="19">
          <cell r="B19" t="str">
            <v xml:space="preserve">    Growth  %</v>
          </cell>
          <cell r="D19">
            <v>0.85436646897848167</v>
          </cell>
          <cell r="E19">
            <v>0.19477432015699472</v>
          </cell>
          <cell r="F19">
            <v>-0.1606847875056315</v>
          </cell>
          <cell r="G19">
            <v>0.32198738593666126</v>
          </cell>
          <cell r="H19">
            <v>1.2236252869712918</v>
          </cell>
        </row>
        <row r="21">
          <cell r="C21" t="str">
            <v>-</v>
          </cell>
          <cell r="D21" t="str">
            <v>-</v>
          </cell>
          <cell r="E21" t="str">
            <v>-</v>
          </cell>
          <cell r="F21" t="str">
            <v>-</v>
          </cell>
          <cell r="G21" t="str">
            <v>-</v>
          </cell>
          <cell r="H21" t="str">
            <v>-</v>
          </cell>
        </row>
        <row r="22">
          <cell r="C22">
            <v>539.05200000000002</v>
          </cell>
          <cell r="D22">
            <v>819.08100000000002</v>
          </cell>
          <cell r="E22">
            <v>935.47</v>
          </cell>
          <cell r="F22">
            <v>741.40599999999995</v>
          </cell>
          <cell r="G22">
            <v>935.17699999999991</v>
          </cell>
          <cell r="H22">
            <v>1597.296</v>
          </cell>
        </row>
        <row r="23">
          <cell r="C23" t="str">
            <v>-</v>
          </cell>
          <cell r="D23" t="str">
            <v>-</v>
          </cell>
          <cell r="E23" t="str">
            <v>-</v>
          </cell>
          <cell r="F23" t="str">
            <v>-</v>
          </cell>
          <cell r="G23" t="str">
            <v>-</v>
          </cell>
          <cell r="H23" t="str">
            <v>-</v>
          </cell>
        </row>
        <row r="24">
          <cell r="B24" t="str">
            <v>Loan  Funds</v>
          </cell>
          <cell r="C24">
            <v>0</v>
          </cell>
          <cell r="D24">
            <v>0</v>
          </cell>
          <cell r="E24">
            <v>0</v>
          </cell>
          <cell r="F24">
            <v>0</v>
          </cell>
          <cell r="G24">
            <v>0</v>
          </cell>
          <cell r="H24">
            <v>0</v>
          </cell>
        </row>
        <row r="26">
          <cell r="B26" t="str">
            <v>a. Secured  Loans</v>
          </cell>
          <cell r="C26">
            <v>697.56999999999994</v>
          </cell>
          <cell r="D26">
            <v>822.31799999999998</v>
          </cell>
          <cell r="E26">
            <v>1200.72</v>
          </cell>
          <cell r="F26">
            <v>840.28</v>
          </cell>
          <cell r="G26">
            <v>778.40700000000004</v>
          </cell>
          <cell r="H26">
            <v>1217.059</v>
          </cell>
        </row>
        <row r="27">
          <cell r="B27" t="str">
            <v xml:space="preserve">    Growth  %</v>
          </cell>
          <cell r="D27">
            <v>0.17883223189070641</v>
          </cell>
          <cell r="E27">
            <v>0.46016504563927829</v>
          </cell>
          <cell r="F27">
            <v>-0.30018655473382638</v>
          </cell>
          <cell r="G27">
            <v>-7.3633788737087563E-2</v>
          </cell>
          <cell r="H27">
            <v>0.56352525092914107</v>
          </cell>
        </row>
        <row r="29">
          <cell r="B29" t="str">
            <v>b.  Unsecured  Loans</v>
          </cell>
          <cell r="C29">
            <v>89.367000000000004</v>
          </cell>
          <cell r="D29">
            <v>310.14</v>
          </cell>
          <cell r="E29">
            <v>116.75</v>
          </cell>
          <cell r="F29">
            <v>13.775</v>
          </cell>
          <cell r="G29">
            <v>17.29</v>
          </cell>
          <cell r="H29">
            <v>98.785000000000011</v>
          </cell>
        </row>
        <row r="30">
          <cell r="C30" t="str">
            <v>-</v>
          </cell>
          <cell r="D30" t="str">
            <v>-</v>
          </cell>
          <cell r="E30" t="str">
            <v>-</v>
          </cell>
          <cell r="F30" t="str">
            <v>-</v>
          </cell>
          <cell r="G30" t="str">
            <v>-</v>
          </cell>
          <cell r="H30" t="str">
            <v>-</v>
          </cell>
        </row>
        <row r="31">
          <cell r="C31">
            <v>786.9369999999999</v>
          </cell>
          <cell r="D31">
            <v>1132.4580000000001</v>
          </cell>
          <cell r="E31">
            <v>1317.47</v>
          </cell>
          <cell r="F31">
            <v>854.05499999999995</v>
          </cell>
          <cell r="G31">
            <v>795.697</v>
          </cell>
          <cell r="H31">
            <v>1315.8440000000001</v>
          </cell>
        </row>
        <row r="32">
          <cell r="C32" t="str">
            <v>-</v>
          </cell>
          <cell r="D32" t="str">
            <v>-</v>
          </cell>
          <cell r="E32" t="str">
            <v>-</v>
          </cell>
          <cell r="F32" t="str">
            <v>-</v>
          </cell>
          <cell r="G32" t="str">
            <v>-</v>
          </cell>
          <cell r="H32" t="str">
            <v>-</v>
          </cell>
        </row>
        <row r="34">
          <cell r="C34" t="str">
            <v>-</v>
          </cell>
          <cell r="D34" t="str">
            <v>-</v>
          </cell>
          <cell r="E34" t="str">
            <v>-</v>
          </cell>
          <cell r="F34" t="str">
            <v>-</v>
          </cell>
          <cell r="G34" t="str">
            <v>-</v>
          </cell>
          <cell r="H34" t="str">
            <v>-</v>
          </cell>
        </row>
        <row r="35">
          <cell r="B35" t="str">
            <v>TOTAL</v>
          </cell>
          <cell r="C35">
            <v>1325.989</v>
          </cell>
          <cell r="D35">
            <v>1951.5390000000002</v>
          </cell>
          <cell r="E35">
            <v>2252.94</v>
          </cell>
          <cell r="F35">
            <v>1595.4609999999998</v>
          </cell>
          <cell r="G35">
            <v>1730.8739999999998</v>
          </cell>
          <cell r="H35">
            <v>2913.1400000000003</v>
          </cell>
        </row>
        <row r="36">
          <cell r="C36" t="str">
            <v>=</v>
          </cell>
          <cell r="D36" t="str">
            <v>=</v>
          </cell>
          <cell r="E36" t="str">
            <v>=</v>
          </cell>
          <cell r="F36" t="str">
            <v>=</v>
          </cell>
          <cell r="G36" t="str">
            <v>=</v>
          </cell>
          <cell r="H36" t="str">
            <v>=</v>
          </cell>
        </row>
        <row r="38">
          <cell r="B38" t="str">
            <v>APPLICATION  OF  FUNDS</v>
          </cell>
        </row>
        <row r="40">
          <cell r="B40" t="str">
            <v>Fixed  Assets</v>
          </cell>
        </row>
        <row r="42">
          <cell r="B42" t="str">
            <v>Gross  Block</v>
          </cell>
          <cell r="C42">
            <v>1006.83</v>
          </cell>
          <cell r="D42">
            <v>1474.41</v>
          </cell>
          <cell r="E42">
            <v>1648.41</v>
          </cell>
          <cell r="F42">
            <v>1687.9490000000001</v>
          </cell>
          <cell r="G42">
            <v>2004.2759999999998</v>
          </cell>
          <cell r="H42">
            <v>2627.8779999999997</v>
          </cell>
        </row>
        <row r="43">
          <cell r="B43" t="str">
            <v>Growth  %</v>
          </cell>
          <cell r="D43">
            <v>0.46440809272667682</v>
          </cell>
          <cell r="E43">
            <v>0.11801330701772234</v>
          </cell>
          <cell r="F43">
            <v>2.3986144223827801E-2</v>
          </cell>
          <cell r="G43">
            <v>0.18740317391105996</v>
          </cell>
          <cell r="H43">
            <v>0.31113579167739369</v>
          </cell>
        </row>
        <row r="44">
          <cell r="B44">
            <v>0</v>
          </cell>
        </row>
        <row r="45">
          <cell r="B45" t="str">
            <v>Less: Depreciation</v>
          </cell>
          <cell r="C45">
            <v>130.94999999999999</v>
          </cell>
          <cell r="D45">
            <v>185.14</v>
          </cell>
          <cell r="E45">
            <v>256.93</v>
          </cell>
          <cell r="F45">
            <v>650.89</v>
          </cell>
          <cell r="G45">
            <v>867.72</v>
          </cell>
          <cell r="H45">
            <v>1002.7239999999999</v>
          </cell>
        </row>
        <row r="46">
          <cell r="C46" t="str">
            <v>-</v>
          </cell>
          <cell r="D46" t="str">
            <v>-</v>
          </cell>
          <cell r="E46" t="str">
            <v>-</v>
          </cell>
          <cell r="F46" t="str">
            <v>-</v>
          </cell>
          <cell r="G46" t="str">
            <v>-</v>
          </cell>
          <cell r="H46" t="str">
            <v>-</v>
          </cell>
        </row>
        <row r="47">
          <cell r="B47" t="str">
            <v>Net  Block</v>
          </cell>
          <cell r="C47">
            <v>875.88000000000011</v>
          </cell>
          <cell r="D47">
            <v>1289.27</v>
          </cell>
          <cell r="E47">
            <v>1391.48</v>
          </cell>
          <cell r="F47">
            <v>1037.0590000000002</v>
          </cell>
          <cell r="G47">
            <v>1136.5559999999998</v>
          </cell>
          <cell r="H47">
            <v>1625.1539999999998</v>
          </cell>
        </row>
        <row r="49">
          <cell r="B49" t="str">
            <v>Investments</v>
          </cell>
          <cell r="C49">
            <v>65.63</v>
          </cell>
          <cell r="D49">
            <v>112.81899999999999</v>
          </cell>
          <cell r="E49">
            <v>56.809999999999995</v>
          </cell>
          <cell r="F49">
            <v>50.19</v>
          </cell>
          <cell r="G49">
            <v>50.19</v>
          </cell>
          <cell r="H49">
            <v>422.78999999999996</v>
          </cell>
        </row>
        <row r="50">
          <cell r="B50" t="str">
            <v>Growth  %</v>
          </cell>
          <cell r="D50">
            <v>0.71901569404235866</v>
          </cell>
          <cell r="E50">
            <v>-0.49645006603497638</v>
          </cell>
          <cell r="F50">
            <v>-0.11652878014434075</v>
          </cell>
          <cell r="G50">
            <v>0</v>
          </cell>
          <cell r="H50">
            <v>7.4237895995218164</v>
          </cell>
        </row>
        <row r="52">
          <cell r="B52" t="str">
            <v>Current Assets, Loans &amp; Advances</v>
          </cell>
        </row>
        <row r="54">
          <cell r="B54" t="str">
            <v>a. Inventories</v>
          </cell>
          <cell r="C54">
            <v>104.86</v>
          </cell>
          <cell r="D54">
            <v>129.08699999999999</v>
          </cell>
          <cell r="E54">
            <v>155.76</v>
          </cell>
          <cell r="F54">
            <v>228.06</v>
          </cell>
          <cell r="G54">
            <v>275.24300000000005</v>
          </cell>
          <cell r="H54">
            <v>405.64699999999999</v>
          </cell>
        </row>
        <row r="56">
          <cell r="B56" t="str">
            <v>b. Sundry  Debtors</v>
          </cell>
          <cell r="C56">
            <v>104.93</v>
          </cell>
          <cell r="D56">
            <v>79.63</v>
          </cell>
          <cell r="E56">
            <v>189.62</v>
          </cell>
          <cell r="F56">
            <v>198.18</v>
          </cell>
          <cell r="G56">
            <v>214.24799999999999</v>
          </cell>
          <cell r="H56">
            <v>146.32</v>
          </cell>
        </row>
        <row r="58">
          <cell r="B58" t="str">
            <v>c.  Cash &amp; Bank Balances</v>
          </cell>
          <cell r="C58">
            <v>25.63</v>
          </cell>
          <cell r="D58">
            <v>37.878</v>
          </cell>
          <cell r="E58">
            <v>29.16</v>
          </cell>
          <cell r="F58">
            <v>38.74</v>
          </cell>
          <cell r="G58">
            <v>3.2490000000000001</v>
          </cell>
          <cell r="H58">
            <v>4.3639999999999999</v>
          </cell>
        </row>
        <row r="60">
          <cell r="B60" t="str">
            <v>d.  Loans &amp;  Advances</v>
          </cell>
          <cell r="C60">
            <v>126.03399999999999</v>
          </cell>
          <cell r="D60">
            <v>335.98800000000006</v>
          </cell>
          <cell r="E60">
            <v>485.39</v>
          </cell>
          <cell r="F60">
            <v>73.804999999999993</v>
          </cell>
          <cell r="G60">
            <v>145.55700000000002</v>
          </cell>
          <cell r="H60">
            <v>136.51299999999998</v>
          </cell>
        </row>
        <row r="62">
          <cell r="B62" t="str">
            <v>e.  Deposits</v>
          </cell>
          <cell r="C62">
            <v>58.286000000000001</v>
          </cell>
          <cell r="D62">
            <v>34.449999999999996</v>
          </cell>
          <cell r="E62">
            <v>8.4699999999999989</v>
          </cell>
          <cell r="F62">
            <v>8.4849999999999994</v>
          </cell>
          <cell r="G62">
            <v>8.69</v>
          </cell>
          <cell r="H62">
            <v>114.32000000000001</v>
          </cell>
        </row>
        <row r="64">
          <cell r="B64" t="str">
            <v>f. Trade  Investments</v>
          </cell>
          <cell r="C64">
            <v>29.998999999999999</v>
          </cell>
          <cell r="D64">
            <v>58.198999999999998</v>
          </cell>
          <cell r="E64">
            <v>58.198999999999998</v>
          </cell>
          <cell r="F64">
            <v>58.198999999999998</v>
          </cell>
          <cell r="G64">
            <v>58.198999999999998</v>
          </cell>
          <cell r="H64">
            <v>178.19900000000001</v>
          </cell>
        </row>
        <row r="65">
          <cell r="C65" t="str">
            <v>-</v>
          </cell>
          <cell r="D65" t="str">
            <v>-</v>
          </cell>
          <cell r="E65" t="str">
            <v>-</v>
          </cell>
          <cell r="F65" t="str">
            <v>-</v>
          </cell>
          <cell r="G65" t="str">
            <v>-</v>
          </cell>
          <cell r="H65" t="str">
            <v>-</v>
          </cell>
        </row>
        <row r="66">
          <cell r="C66">
            <v>449.73900000000003</v>
          </cell>
          <cell r="D66">
            <v>675.23200000000008</v>
          </cell>
          <cell r="E66">
            <v>926.59900000000005</v>
          </cell>
          <cell r="F66">
            <v>605.46899999999994</v>
          </cell>
          <cell r="G66">
            <v>705.18600000000004</v>
          </cell>
          <cell r="H66">
            <v>985.36300000000006</v>
          </cell>
        </row>
        <row r="68">
          <cell r="B68" t="str">
            <v>Less: Current  Liabilities</v>
          </cell>
          <cell r="C68">
            <v>71.275000000000006</v>
          </cell>
          <cell r="D68">
            <v>131.01</v>
          </cell>
          <cell r="E68">
            <v>126.38999999999999</v>
          </cell>
          <cell r="F68">
            <v>100.91</v>
          </cell>
          <cell r="G68">
            <v>163.93899999999999</v>
          </cell>
          <cell r="H68">
            <v>123.041</v>
          </cell>
        </row>
        <row r="69">
          <cell r="C69" t="str">
            <v>-</v>
          </cell>
          <cell r="D69" t="str">
            <v>-</v>
          </cell>
          <cell r="E69" t="str">
            <v>-</v>
          </cell>
          <cell r="F69" t="str">
            <v>-</v>
          </cell>
          <cell r="G69" t="str">
            <v>-</v>
          </cell>
          <cell r="H69" t="str">
            <v>-</v>
          </cell>
        </row>
        <row r="70">
          <cell r="B70" t="str">
            <v>Net  Current  Assets</v>
          </cell>
          <cell r="C70">
            <v>378.46400000000006</v>
          </cell>
          <cell r="D70">
            <v>544.22200000000009</v>
          </cell>
          <cell r="E70">
            <v>800.20900000000006</v>
          </cell>
          <cell r="F70">
            <v>504.55899999999997</v>
          </cell>
          <cell r="G70">
            <v>541.24700000000007</v>
          </cell>
          <cell r="H70">
            <v>862.32200000000012</v>
          </cell>
        </row>
        <row r="72">
          <cell r="B72" t="str">
            <v>Miscellaneous Expenditure</v>
          </cell>
          <cell r="C72">
            <v>6.0209999999999999</v>
          </cell>
          <cell r="D72">
            <v>5.23</v>
          </cell>
          <cell r="E72">
            <v>4.4405000000000001</v>
          </cell>
          <cell r="F72">
            <v>3.6559999999999997</v>
          </cell>
          <cell r="G72">
            <v>2.8719999999999999</v>
          </cell>
          <cell r="H72">
            <v>2.8719999999999999</v>
          </cell>
        </row>
        <row r="74">
          <cell r="B74" t="str">
            <v>(to the extent not written off or adjusted)</v>
          </cell>
        </row>
        <row r="76">
          <cell r="B76" t="str">
            <v>Preliminary  Expenses</v>
          </cell>
          <cell r="C76">
            <v>4</v>
          </cell>
          <cell r="D76">
            <v>3.44</v>
          </cell>
          <cell r="E76">
            <v>2.8759999999999999</v>
          </cell>
          <cell r="F76">
            <v>2.3159999999999998</v>
          </cell>
          <cell r="G76">
            <v>1.7549999999999999</v>
          </cell>
          <cell r="H76">
            <v>1.7549999999999999</v>
          </cell>
        </row>
        <row r="78">
          <cell r="B78" t="str">
            <v>Deferred  Revenue  Expenditure</v>
          </cell>
          <cell r="C78">
            <v>2.0209999999999999</v>
          </cell>
          <cell r="D78">
            <v>1.79</v>
          </cell>
          <cell r="E78">
            <v>1.5645</v>
          </cell>
          <cell r="F78">
            <v>1.34</v>
          </cell>
          <cell r="G78">
            <v>1.117</v>
          </cell>
          <cell r="H78">
            <v>1.117</v>
          </cell>
        </row>
        <row r="80">
          <cell r="C80" t="str">
            <v>-</v>
          </cell>
          <cell r="D80" t="str">
            <v>-</v>
          </cell>
          <cell r="E80" t="str">
            <v>-</v>
          </cell>
          <cell r="F80" t="str">
            <v>-</v>
          </cell>
          <cell r="G80" t="str">
            <v>-</v>
          </cell>
          <cell r="H80" t="str">
            <v>-</v>
          </cell>
        </row>
        <row r="81">
          <cell r="B81" t="str">
            <v>TOTAL….</v>
          </cell>
          <cell r="C81">
            <v>1325.9950000000001</v>
          </cell>
          <cell r="D81">
            <v>1951.5410000000002</v>
          </cell>
          <cell r="E81">
            <v>2252.9395</v>
          </cell>
          <cell r="F81">
            <v>1595.4640000000002</v>
          </cell>
          <cell r="G81">
            <v>1730.865</v>
          </cell>
          <cell r="H81">
            <v>2913.1379999999995</v>
          </cell>
        </row>
        <row r="82">
          <cell r="C82" t="str">
            <v>=</v>
          </cell>
          <cell r="D82" t="str">
            <v>=</v>
          </cell>
          <cell r="E82" t="str">
            <v>=</v>
          </cell>
          <cell r="F82" t="str">
            <v>=</v>
          </cell>
          <cell r="G82" t="str">
            <v>=</v>
          </cell>
          <cell r="H82" t="str">
            <v>=</v>
          </cell>
        </row>
        <row r="87">
          <cell r="B87" t="str">
            <v>PROFIT  AND  LOSS  ACCOUNT  FOR  LAST SIX YEARS</v>
          </cell>
        </row>
        <row r="89">
          <cell r="B89" t="str">
            <v>-</v>
          </cell>
          <cell r="C89" t="str">
            <v>-</v>
          </cell>
          <cell r="D89" t="str">
            <v>-</v>
          </cell>
          <cell r="E89" t="str">
            <v>-</v>
          </cell>
          <cell r="F89" t="str">
            <v>-</v>
          </cell>
          <cell r="G89" t="str">
            <v>-</v>
          </cell>
          <cell r="H89" t="str">
            <v>-</v>
          </cell>
          <cell r="I89" t="str">
            <v>-</v>
          </cell>
          <cell r="J89" t="str">
            <v>-</v>
          </cell>
          <cell r="K89" t="str">
            <v>-</v>
          </cell>
          <cell r="L89" t="str">
            <v>-</v>
          </cell>
          <cell r="M89" t="str">
            <v>-</v>
          </cell>
          <cell r="N89" t="str">
            <v>-</v>
          </cell>
        </row>
        <row r="90">
          <cell r="B90" t="str">
            <v>PARTICULARS</v>
          </cell>
          <cell r="C90" t="str">
            <v>%</v>
          </cell>
          <cell r="D90" t="str">
            <v>1997-98</v>
          </cell>
          <cell r="E90" t="str">
            <v>%</v>
          </cell>
          <cell r="F90" t="str">
            <v>1998-99</v>
          </cell>
          <cell r="G90" t="str">
            <v>%</v>
          </cell>
          <cell r="H90" t="str">
            <v>1999-00</v>
          </cell>
          <cell r="I90" t="str">
            <v>%</v>
          </cell>
          <cell r="J90" t="str">
            <v>2000-01</v>
          </cell>
          <cell r="K90" t="str">
            <v>%</v>
          </cell>
          <cell r="L90" t="str">
            <v>2001-02</v>
          </cell>
          <cell r="M90" t="str">
            <v>%</v>
          </cell>
          <cell r="N90" t="str">
            <v>2002-03</v>
          </cell>
        </row>
        <row r="91">
          <cell r="B91" t="str">
            <v>-</v>
          </cell>
          <cell r="C91" t="str">
            <v>-</v>
          </cell>
          <cell r="D91" t="str">
            <v>-</v>
          </cell>
          <cell r="E91" t="str">
            <v>-</v>
          </cell>
          <cell r="F91" t="str">
            <v>-</v>
          </cell>
          <cell r="G91" t="str">
            <v>-</v>
          </cell>
          <cell r="H91" t="str">
            <v>-</v>
          </cell>
          <cell r="I91" t="str">
            <v>-</v>
          </cell>
          <cell r="J91" t="str">
            <v>-</v>
          </cell>
          <cell r="K91" t="str">
            <v>-</v>
          </cell>
          <cell r="L91" t="str">
            <v>-</v>
          </cell>
          <cell r="M91" t="str">
            <v>-</v>
          </cell>
          <cell r="N91" t="str">
            <v>-</v>
          </cell>
        </row>
        <row r="92">
          <cell r="B92" t="str">
            <v>INCOME</v>
          </cell>
        </row>
        <row r="94">
          <cell r="B94" t="str">
            <v>Sales</v>
          </cell>
          <cell r="D94">
            <v>2849.6959999999999</v>
          </cell>
          <cell r="F94">
            <v>2975.21</v>
          </cell>
          <cell r="H94">
            <v>4497.33</v>
          </cell>
          <cell r="J94">
            <v>5949.45</v>
          </cell>
          <cell r="L94">
            <v>6130.15</v>
          </cell>
          <cell r="N94">
            <v>7121.7079999999996</v>
          </cell>
        </row>
        <row r="96">
          <cell r="B96" t="str">
            <v xml:space="preserve">Other  Income </v>
          </cell>
          <cell r="D96">
            <v>3.6259999999999999</v>
          </cell>
          <cell r="F96">
            <v>9.7799999999999994</v>
          </cell>
          <cell r="H96">
            <v>8.23</v>
          </cell>
          <cell r="J96">
            <v>12.531000000000001</v>
          </cell>
          <cell r="L96">
            <v>1.8640000000000001</v>
          </cell>
          <cell r="N96">
            <v>0.79999999999999993</v>
          </cell>
        </row>
        <row r="98">
          <cell r="B98" t="str">
            <v>Increase/(Decrease)  in Stocks</v>
          </cell>
          <cell r="D98">
            <v>5.8120000000000012</v>
          </cell>
          <cell r="F98">
            <v>22.29</v>
          </cell>
          <cell r="H98">
            <v>47.985999999999997</v>
          </cell>
          <cell r="J98">
            <v>37.588000000000001</v>
          </cell>
          <cell r="L98">
            <v>-35.724800000000002</v>
          </cell>
          <cell r="N98">
            <v>241.82300000000001</v>
          </cell>
        </row>
        <row r="99">
          <cell r="C99" t="str">
            <v>-</v>
          </cell>
          <cell r="D99" t="str">
            <v>-</v>
          </cell>
          <cell r="E99" t="str">
            <v>-</v>
          </cell>
          <cell r="F99" t="str">
            <v>-</v>
          </cell>
          <cell r="G99" t="str">
            <v>-</v>
          </cell>
          <cell r="H99" t="str">
            <v>-</v>
          </cell>
          <cell r="I99" t="str">
            <v>-</v>
          </cell>
          <cell r="J99" t="str">
            <v>-</v>
          </cell>
          <cell r="K99" t="str">
            <v>-</v>
          </cell>
          <cell r="L99" t="str">
            <v>-</v>
          </cell>
          <cell r="M99" t="str">
            <v>-</v>
          </cell>
          <cell r="N99" t="str">
            <v>-</v>
          </cell>
        </row>
        <row r="100">
          <cell r="B100" t="str">
            <v>TOTAL  INCOME</v>
          </cell>
          <cell r="C100">
            <v>1</v>
          </cell>
          <cell r="D100">
            <v>2859.134</v>
          </cell>
          <cell r="E100">
            <v>1</v>
          </cell>
          <cell r="F100">
            <v>3007.28</v>
          </cell>
          <cell r="G100">
            <v>1</v>
          </cell>
          <cell r="H100">
            <v>4553.5459999999994</v>
          </cell>
          <cell r="I100">
            <v>1</v>
          </cell>
          <cell r="J100">
            <v>5999.5689999999995</v>
          </cell>
          <cell r="K100">
            <v>1</v>
          </cell>
          <cell r="L100">
            <v>6096.2891999999993</v>
          </cell>
          <cell r="M100">
            <v>1</v>
          </cell>
          <cell r="N100">
            <v>7364.3310000000001</v>
          </cell>
        </row>
        <row r="101">
          <cell r="C101" t="str">
            <v>-</v>
          </cell>
          <cell r="D101" t="str">
            <v>-</v>
          </cell>
          <cell r="E101" t="str">
            <v>-</v>
          </cell>
          <cell r="F101" t="str">
            <v>-</v>
          </cell>
          <cell r="G101" t="str">
            <v>-</v>
          </cell>
          <cell r="H101" t="str">
            <v>-</v>
          </cell>
          <cell r="I101" t="str">
            <v>-</v>
          </cell>
          <cell r="J101" t="str">
            <v>-</v>
          </cell>
          <cell r="K101" t="str">
            <v>-</v>
          </cell>
          <cell r="L101" t="str">
            <v>-</v>
          </cell>
          <cell r="M101" t="str">
            <v>-</v>
          </cell>
          <cell r="N101" t="str">
            <v>-</v>
          </cell>
        </row>
        <row r="103">
          <cell r="B103" t="str">
            <v>EXPENDITURE</v>
          </cell>
        </row>
        <row r="105">
          <cell r="B105" t="str">
            <v>Raw  Material  Consumed   Including</v>
          </cell>
          <cell r="C105">
            <v>0.78691105418633744</v>
          </cell>
          <cell r="D105">
            <v>2249.8841499999999</v>
          </cell>
          <cell r="E105">
            <v>0.75046320262828869</v>
          </cell>
          <cell r="F105">
            <v>2256.8529800000001</v>
          </cell>
          <cell r="G105">
            <v>0.79818365730795304</v>
          </cell>
          <cell r="H105">
            <v>3634.5659999999998</v>
          </cell>
          <cell r="I105">
            <v>0.789284030236172</v>
          </cell>
          <cell r="J105">
            <v>4735.3639999999996</v>
          </cell>
          <cell r="K105">
            <v>0.7836353957748593</v>
          </cell>
          <cell r="L105">
            <v>4777.268</v>
          </cell>
          <cell r="M105">
            <v>0.80453431547278365</v>
          </cell>
          <cell r="N105">
            <v>5924.857</v>
          </cell>
        </row>
        <row r="106">
          <cell r="B106" t="str">
            <v>Excise  Duty</v>
          </cell>
        </row>
        <row r="107">
          <cell r="C107">
            <v>0</v>
          </cell>
          <cell r="E107">
            <v>0</v>
          </cell>
          <cell r="G107">
            <v>0</v>
          </cell>
          <cell r="I107">
            <v>0</v>
          </cell>
          <cell r="K107">
            <v>0</v>
          </cell>
          <cell r="M107">
            <v>0</v>
          </cell>
        </row>
        <row r="108">
          <cell r="B108" t="str">
            <v>Power &amp; Fuel</v>
          </cell>
          <cell r="C108">
            <v>4.2264196081750624E-2</v>
          </cell>
          <cell r="D108">
            <v>120.839</v>
          </cell>
          <cell r="E108">
            <v>6.9750738208613772E-2</v>
          </cell>
          <cell r="F108">
            <v>209.76000000000002</v>
          </cell>
          <cell r="G108">
            <v>5.7670659305956287E-2</v>
          </cell>
          <cell r="H108">
            <v>262.60599999999999</v>
          </cell>
          <cell r="I108">
            <v>4.6116312688461461E-2</v>
          </cell>
          <cell r="J108">
            <v>276.678</v>
          </cell>
          <cell r="K108">
            <v>5.2251458149327953E-2</v>
          </cell>
          <cell r="L108">
            <v>318.53999999999996</v>
          </cell>
          <cell r="M108">
            <v>4.4358000747114705E-2</v>
          </cell>
          <cell r="N108">
            <v>326.66699999999997</v>
          </cell>
        </row>
        <row r="109">
          <cell r="G109">
            <v>0</v>
          </cell>
          <cell r="I109">
            <v>0</v>
          </cell>
          <cell r="K109">
            <v>0</v>
          </cell>
          <cell r="M109">
            <v>0</v>
          </cell>
        </row>
        <row r="110">
          <cell r="B110" t="str">
            <v>Other  Manufacturing   Expenses</v>
          </cell>
          <cell r="C110">
            <v>2.9910455403629212E-2</v>
          </cell>
          <cell r="D110">
            <v>85.518000000000001</v>
          </cell>
          <cell r="E110">
            <v>4.0598148492990344E-2</v>
          </cell>
          <cell r="F110">
            <v>122.09</v>
          </cell>
          <cell r="G110">
            <v>4.6129104658215819E-2</v>
          </cell>
          <cell r="H110">
            <v>210.05099999999999</v>
          </cell>
          <cell r="I110">
            <v>5.4390240365599599E-2</v>
          </cell>
          <cell r="J110">
            <v>326.31799999999998</v>
          </cell>
          <cell r="K110">
            <v>4.5248181467506504E-2</v>
          </cell>
          <cell r="L110">
            <v>275.846</v>
          </cell>
          <cell r="M110">
            <v>4.9649995362783125E-2</v>
          </cell>
          <cell r="N110">
            <v>365.63900000000001</v>
          </cell>
        </row>
        <row r="111">
          <cell r="C111">
            <v>0</v>
          </cell>
          <cell r="E111">
            <v>0</v>
          </cell>
          <cell r="G111">
            <v>0</v>
          </cell>
          <cell r="I111">
            <v>0</v>
          </cell>
          <cell r="K111">
            <v>0</v>
          </cell>
          <cell r="M111">
            <v>0</v>
          </cell>
        </row>
        <row r="112">
          <cell r="B112" t="str">
            <v>Payment  To  Employees</v>
          </cell>
          <cell r="C112">
            <v>1.1400654883611612E-2</v>
          </cell>
          <cell r="D112">
            <v>32.596000000000004</v>
          </cell>
          <cell r="E112">
            <v>1.4870580724109492E-2</v>
          </cell>
          <cell r="F112">
            <v>44.72</v>
          </cell>
          <cell r="G112">
            <v>8.412125407319922E-3</v>
          </cell>
          <cell r="H112">
            <v>38.305</v>
          </cell>
          <cell r="I112">
            <v>7.6982196554452502E-3</v>
          </cell>
          <cell r="J112">
            <v>46.186</v>
          </cell>
          <cell r="K112">
            <v>9.1855878490803896E-3</v>
          </cell>
          <cell r="L112">
            <v>55.998000000000005</v>
          </cell>
          <cell r="M112">
            <v>1.261187200846893E-2</v>
          </cell>
          <cell r="N112">
            <v>92.878</v>
          </cell>
        </row>
        <row r="113">
          <cell r="C113">
            <v>0</v>
          </cell>
          <cell r="E113">
            <v>0</v>
          </cell>
          <cell r="G113">
            <v>0</v>
          </cell>
          <cell r="I113">
            <v>0</v>
          </cell>
          <cell r="K113">
            <v>0</v>
          </cell>
          <cell r="M113">
            <v>0</v>
          </cell>
        </row>
        <row r="114">
          <cell r="B114" t="str">
            <v xml:space="preserve"> Administration   Exp.</v>
          </cell>
          <cell r="C114">
            <v>1.4559807270313318E-2</v>
          </cell>
          <cell r="D114">
            <v>41.628439999999998</v>
          </cell>
          <cell r="E114">
            <v>1.7091857093453219E-2</v>
          </cell>
          <cell r="F114">
            <v>51.4</v>
          </cell>
          <cell r="G114">
            <v>5.1832132584144321E-3</v>
          </cell>
          <cell r="H114">
            <v>23.602</v>
          </cell>
          <cell r="I114">
            <v>6.4632976135452404E-3</v>
          </cell>
          <cell r="J114">
            <v>38.777000000000001</v>
          </cell>
          <cell r="K114">
            <v>1.1706137563158915E-2</v>
          </cell>
          <cell r="L114">
            <v>71.364000000000004</v>
          </cell>
          <cell r="M114">
            <v>6.1564315889657863E-3</v>
          </cell>
          <cell r="N114">
            <v>45.338000000000001</v>
          </cell>
        </row>
        <row r="115">
          <cell r="G115">
            <v>0</v>
          </cell>
          <cell r="I115">
            <v>0</v>
          </cell>
          <cell r="K115">
            <v>0</v>
          </cell>
          <cell r="M115">
            <v>0</v>
          </cell>
        </row>
        <row r="116">
          <cell r="B116" t="str">
            <v>Selling  &amp;  Distribution   Exp.</v>
          </cell>
          <cell r="C116">
            <v>3.0462230871305786E-3</v>
          </cell>
          <cell r="D116">
            <v>8.7095599999999997</v>
          </cell>
          <cell r="E116">
            <v>3.0642307999255137E-3</v>
          </cell>
          <cell r="F116">
            <v>9.2149999999999999</v>
          </cell>
          <cell r="G116">
            <v>5.7010514443029683E-4</v>
          </cell>
          <cell r="H116">
            <v>2.5960000000000001</v>
          </cell>
          <cell r="I116">
            <v>1.9223047522247019E-3</v>
          </cell>
          <cell r="J116">
            <v>11.533000000000001</v>
          </cell>
          <cell r="K116">
            <v>1.6583858915354608E-3</v>
          </cell>
          <cell r="L116">
            <v>10.11</v>
          </cell>
          <cell r="M116">
            <v>2.71579319289152E-5</v>
          </cell>
          <cell r="N116">
            <v>0.2</v>
          </cell>
        </row>
        <row r="117">
          <cell r="C117">
            <v>0</v>
          </cell>
          <cell r="E117">
            <v>0</v>
          </cell>
          <cell r="G117">
            <v>0</v>
          </cell>
          <cell r="I117">
            <v>0</v>
          </cell>
          <cell r="K117">
            <v>0</v>
          </cell>
          <cell r="M117">
            <v>0</v>
          </cell>
        </row>
        <row r="118">
          <cell r="B118" t="str">
            <v>Interest &amp; Finance Expenses</v>
          </cell>
          <cell r="C118">
            <v>3.8193383031365442E-2</v>
          </cell>
          <cell r="D118">
            <v>109.2</v>
          </cell>
          <cell r="E118">
            <v>3.9544039796759863E-2</v>
          </cell>
          <cell r="F118">
            <v>118.92</v>
          </cell>
          <cell r="G118">
            <v>3.7615519860785422E-2</v>
          </cell>
          <cell r="H118">
            <v>171.28399999999999</v>
          </cell>
          <cell r="I118">
            <v>2.7042442548789757E-2</v>
          </cell>
          <cell r="J118">
            <v>162.24299999999999</v>
          </cell>
          <cell r="K118">
            <v>1.7525415296898977E-2</v>
          </cell>
          <cell r="L118">
            <v>106.84</v>
          </cell>
          <cell r="M118">
            <v>1.4187032060346012E-2</v>
          </cell>
          <cell r="N118">
            <v>104.47800000000001</v>
          </cell>
        </row>
        <row r="119">
          <cell r="C119">
            <v>0</v>
          </cell>
          <cell r="E119">
            <v>0</v>
          </cell>
          <cell r="G119">
            <v>0</v>
          </cell>
          <cell r="I119">
            <v>0</v>
          </cell>
          <cell r="K119">
            <v>0</v>
          </cell>
          <cell r="M119">
            <v>0</v>
          </cell>
        </row>
        <row r="120">
          <cell r="B120" t="str">
            <v>Depreciation</v>
          </cell>
          <cell r="C120">
            <v>1.5129406316737865E-2</v>
          </cell>
          <cell r="D120">
            <v>43.256999999999998</v>
          </cell>
          <cell r="E120">
            <v>1.8021268388710061E-2</v>
          </cell>
          <cell r="F120">
            <v>54.194999999999993</v>
          </cell>
          <cell r="G120">
            <v>1.5765076272425932E-2</v>
          </cell>
          <cell r="H120">
            <v>71.787000000000006</v>
          </cell>
          <cell r="I120">
            <v>2.459893369007007E-2</v>
          </cell>
          <cell r="J120">
            <v>147.583</v>
          </cell>
          <cell r="K120">
            <v>4.1314477010047368E-2</v>
          </cell>
          <cell r="L120">
            <v>251.86500000000001</v>
          </cell>
          <cell r="M120">
            <v>1.8331604052017759E-2</v>
          </cell>
          <cell r="N120">
            <v>135</v>
          </cell>
        </row>
        <row r="121">
          <cell r="C121">
            <v>0</v>
          </cell>
          <cell r="E121">
            <v>0</v>
          </cell>
          <cell r="G121">
            <v>0</v>
          </cell>
          <cell r="I121">
            <v>0</v>
          </cell>
          <cell r="K121">
            <v>0</v>
          </cell>
          <cell r="M121">
            <v>0</v>
          </cell>
        </row>
        <row r="122">
          <cell r="B122" t="str">
            <v>Preliminary Expenses w/off</v>
          </cell>
          <cell r="C122">
            <v>2.7280987879546744E-4</v>
          </cell>
          <cell r="D122">
            <v>0.78</v>
          </cell>
          <cell r="E122">
            <v>2.5937059402516557E-4</v>
          </cell>
          <cell r="F122">
            <v>0.78</v>
          </cell>
          <cell r="G122">
            <v>1.7129507421249289E-4</v>
          </cell>
          <cell r="H122">
            <v>0.78</v>
          </cell>
          <cell r="I122">
            <v>1.3000933900418515E-4</v>
          </cell>
          <cell r="J122">
            <v>0.78</v>
          </cell>
          <cell r="K122">
            <v>1.2794668599383377E-4</v>
          </cell>
          <cell r="L122">
            <v>0.78</v>
          </cell>
          <cell r="M122">
            <v>0</v>
          </cell>
          <cell r="N122">
            <v>0</v>
          </cell>
        </row>
        <row r="123">
          <cell r="C123">
            <v>0</v>
          </cell>
          <cell r="E123">
            <v>0</v>
          </cell>
          <cell r="G123">
            <v>0</v>
          </cell>
          <cell r="I123">
            <v>0</v>
          </cell>
          <cell r="K123">
            <v>0</v>
          </cell>
          <cell r="M123">
            <v>0</v>
          </cell>
        </row>
        <row r="124">
          <cell r="C124">
            <v>0</v>
          </cell>
          <cell r="D124" t="str">
            <v>-</v>
          </cell>
          <cell r="E124">
            <v>0</v>
          </cell>
          <cell r="F124" t="str">
            <v>-</v>
          </cell>
          <cell r="G124">
            <v>0</v>
          </cell>
          <cell r="H124" t="str">
            <v>-</v>
          </cell>
          <cell r="I124">
            <v>0</v>
          </cell>
          <cell r="J124" t="str">
            <v>-</v>
          </cell>
          <cell r="K124">
            <v>0</v>
          </cell>
          <cell r="L124" t="str">
            <v>-</v>
          </cell>
          <cell r="M124">
            <v>0</v>
          </cell>
          <cell r="N124" t="str">
            <v>-</v>
          </cell>
        </row>
        <row r="125">
          <cell r="B125" t="str">
            <v>TOTAL  EXPENDITURE</v>
          </cell>
          <cell r="C125">
            <v>0.94168799013967153</v>
          </cell>
          <cell r="D125">
            <v>2692.4121499999997</v>
          </cell>
          <cell r="E125">
            <v>0.95366343672687637</v>
          </cell>
          <cell r="F125">
            <v>2867.932980000001</v>
          </cell>
          <cell r="G125">
            <v>0.96970075628971353</v>
          </cell>
          <cell r="H125">
            <v>4415.5769999999993</v>
          </cell>
          <cell r="I125">
            <v>0.95764579088931223</v>
          </cell>
          <cell r="J125">
            <v>5745.4619999999995</v>
          </cell>
          <cell r="K125">
            <v>0.96265298568840851</v>
          </cell>
          <cell r="L125">
            <v>5868.610999999999</v>
          </cell>
          <cell r="M125">
            <v>0.94985640922440884</v>
          </cell>
          <cell r="N125">
            <v>6995.0569999999998</v>
          </cell>
        </row>
        <row r="126">
          <cell r="C126">
            <v>0</v>
          </cell>
          <cell r="D126" t="str">
            <v>-</v>
          </cell>
          <cell r="E126">
            <v>0</v>
          </cell>
          <cell r="F126" t="str">
            <v>-</v>
          </cell>
          <cell r="G126">
            <v>0</v>
          </cell>
          <cell r="H126" t="str">
            <v>-</v>
          </cell>
          <cell r="I126">
            <v>0</v>
          </cell>
          <cell r="J126" t="str">
            <v>-</v>
          </cell>
          <cell r="K126">
            <v>0</v>
          </cell>
          <cell r="L126" t="str">
            <v>-</v>
          </cell>
          <cell r="M126">
            <v>0</v>
          </cell>
          <cell r="N126" t="str">
            <v>-</v>
          </cell>
        </row>
        <row r="127">
          <cell r="B127" t="str">
            <v>Profit/ Loss Before Tax</v>
          </cell>
          <cell r="C127">
            <v>5.8312009860328459E-2</v>
          </cell>
          <cell r="D127">
            <v>166.72185000000036</v>
          </cell>
          <cell r="E127">
            <v>4.6336563273123632E-2</v>
          </cell>
          <cell r="F127">
            <v>139.34701999999925</v>
          </cell>
          <cell r="G127">
            <v>3.0299243710286462E-2</v>
          </cell>
          <cell r="H127">
            <v>137.96900000000005</v>
          </cell>
          <cell r="I127">
            <v>4.2354209110687782E-2</v>
          </cell>
          <cell r="J127">
            <v>254.10699999999997</v>
          </cell>
          <cell r="K127">
            <v>3.7347014311591438E-2</v>
          </cell>
          <cell r="L127">
            <v>227.67820000000029</v>
          </cell>
          <cell r="M127">
            <v>5.0143590775591204E-2</v>
          </cell>
          <cell r="N127">
            <v>369.27400000000034</v>
          </cell>
        </row>
        <row r="128">
          <cell r="C128">
            <v>0</v>
          </cell>
          <cell r="E128">
            <v>0</v>
          </cell>
          <cell r="G128">
            <v>0</v>
          </cell>
          <cell r="I128">
            <v>0</v>
          </cell>
          <cell r="K128">
            <v>0</v>
          </cell>
          <cell r="M128">
            <v>0</v>
          </cell>
        </row>
        <row r="129">
          <cell r="B129" t="str">
            <v>Less: Provision For  Taxation</v>
          </cell>
          <cell r="C129">
            <v>0</v>
          </cell>
          <cell r="D129">
            <v>0</v>
          </cell>
          <cell r="E129">
            <v>0</v>
          </cell>
          <cell r="F129">
            <v>0</v>
          </cell>
          <cell r="G129">
            <v>1.1046336196010759E-4</v>
          </cell>
          <cell r="H129">
            <v>0.503</v>
          </cell>
          <cell r="I129">
            <v>1.1167468863180006E-4</v>
          </cell>
          <cell r="J129">
            <v>0.67</v>
          </cell>
          <cell r="K129">
            <v>2.8295901710174778E-3</v>
          </cell>
          <cell r="L129">
            <v>17.25</v>
          </cell>
          <cell r="M129">
            <v>0</v>
          </cell>
          <cell r="N129">
            <v>0</v>
          </cell>
        </row>
        <row r="130">
          <cell r="C130">
            <v>0</v>
          </cell>
          <cell r="E130">
            <v>0</v>
          </cell>
          <cell r="G130">
            <v>0</v>
          </cell>
          <cell r="I130">
            <v>0</v>
          </cell>
          <cell r="K130">
            <v>0</v>
          </cell>
          <cell r="M130">
            <v>0</v>
          </cell>
        </row>
        <row r="131">
          <cell r="B131" t="str">
            <v xml:space="preserve"> Add:Depreciation written  OFF</v>
          </cell>
          <cell r="C131">
            <v>0</v>
          </cell>
          <cell r="D131">
            <v>0</v>
          </cell>
          <cell r="E131">
            <v>0</v>
          </cell>
          <cell r="F131">
            <v>0</v>
          </cell>
          <cell r="G131">
            <v>0</v>
          </cell>
          <cell r="H131">
            <v>0</v>
          </cell>
          <cell r="I131">
            <v>-4.1062949688552633E-2</v>
          </cell>
          <cell r="J131">
            <v>-246.36</v>
          </cell>
          <cell r="K131">
            <v>0</v>
          </cell>
          <cell r="L131">
            <v>0</v>
          </cell>
          <cell r="M131">
            <v>-3.9379001296927039E-3</v>
          </cell>
          <cell r="N131">
            <v>-29</v>
          </cell>
        </row>
        <row r="132">
          <cell r="C132">
            <v>0</v>
          </cell>
          <cell r="D132" t="str">
            <v>-</v>
          </cell>
          <cell r="E132">
            <v>0</v>
          </cell>
          <cell r="F132" t="str">
            <v>-</v>
          </cell>
          <cell r="G132">
            <v>0</v>
          </cell>
          <cell r="H132" t="str">
            <v>-</v>
          </cell>
          <cell r="I132">
            <v>0</v>
          </cell>
          <cell r="J132" t="str">
            <v>-</v>
          </cell>
          <cell r="K132">
            <v>0</v>
          </cell>
          <cell r="L132" t="str">
            <v>-</v>
          </cell>
          <cell r="M132">
            <v>0</v>
          </cell>
          <cell r="N132" t="str">
            <v>-</v>
          </cell>
        </row>
        <row r="133">
          <cell r="B133" t="str">
            <v>Profit/Loss After  Taxation</v>
          </cell>
          <cell r="C133">
            <v>5.8312009860328459E-2</v>
          </cell>
          <cell r="D133">
            <v>166.72185000000036</v>
          </cell>
          <cell r="E133">
            <v>4.6336563273123632E-2</v>
          </cell>
          <cell r="F133">
            <v>139.34701999999925</v>
          </cell>
          <cell r="G133">
            <v>3.0188780348326356E-2</v>
          </cell>
          <cell r="H133">
            <v>137.46600000000007</v>
          </cell>
          <cell r="I133">
            <v>1.1795847335033518E-3</v>
          </cell>
          <cell r="J133">
            <v>7.0769999999999698</v>
          </cell>
          <cell r="K133">
            <v>3.451742414057396E-2</v>
          </cell>
          <cell r="L133">
            <v>210.42820000000029</v>
          </cell>
          <cell r="M133">
            <v>4.6205690645898502E-2</v>
          </cell>
          <cell r="N133">
            <v>340.27400000000034</v>
          </cell>
        </row>
        <row r="134">
          <cell r="D134">
            <v>0</v>
          </cell>
          <cell r="F134">
            <v>0</v>
          </cell>
          <cell r="H134">
            <v>0</v>
          </cell>
          <cell r="I134">
            <v>0</v>
          </cell>
          <cell r="J134">
            <v>0</v>
          </cell>
          <cell r="L134">
            <v>0</v>
          </cell>
          <cell r="N134">
            <v>0</v>
          </cell>
        </row>
        <row r="135">
          <cell r="B135" t="str">
            <v xml:space="preserve">Balance  b/f from Previous Year </v>
          </cell>
          <cell r="D135">
            <v>94.43</v>
          </cell>
          <cell r="F135">
            <v>133.65185000000037</v>
          </cell>
          <cell r="H135">
            <v>218.1038699999996</v>
          </cell>
          <cell r="J135">
            <v>304.03986999999972</v>
          </cell>
          <cell r="L135">
            <v>285.98286999999971</v>
          </cell>
          <cell r="N135">
            <v>464.60106999999999</v>
          </cell>
        </row>
        <row r="136">
          <cell r="C136">
            <v>0</v>
          </cell>
          <cell r="D136" t="str">
            <v>-</v>
          </cell>
          <cell r="E136">
            <v>0</v>
          </cell>
          <cell r="F136" t="str">
            <v>-</v>
          </cell>
          <cell r="G136">
            <v>0</v>
          </cell>
          <cell r="H136" t="str">
            <v>-</v>
          </cell>
          <cell r="I136">
            <v>0</v>
          </cell>
          <cell r="J136" t="str">
            <v>-</v>
          </cell>
          <cell r="K136">
            <v>0</v>
          </cell>
          <cell r="L136" t="str">
            <v>-</v>
          </cell>
          <cell r="M136">
            <v>0</v>
          </cell>
          <cell r="N136" t="str">
            <v>-</v>
          </cell>
        </row>
        <row r="137">
          <cell r="B137" t="str">
            <v>BALANCE AVAILABLE FOR APPROPRIATION</v>
          </cell>
          <cell r="D137">
            <v>261.15185000000037</v>
          </cell>
          <cell r="F137">
            <v>272.99886999999961</v>
          </cell>
          <cell r="H137">
            <v>355.5698699999997</v>
          </cell>
          <cell r="J137">
            <v>311.11686999999972</v>
          </cell>
          <cell r="L137">
            <v>496.41107</v>
          </cell>
          <cell r="N137">
            <v>804.87507000000028</v>
          </cell>
        </row>
        <row r="138">
          <cell r="C138">
            <v>0</v>
          </cell>
          <cell r="D138" t="str">
            <v>=</v>
          </cell>
          <cell r="E138">
            <v>0</v>
          </cell>
          <cell r="F138" t="str">
            <v>=</v>
          </cell>
          <cell r="G138">
            <v>0</v>
          </cell>
          <cell r="H138" t="str">
            <v>=</v>
          </cell>
          <cell r="I138">
            <v>0</v>
          </cell>
          <cell r="J138" t="str">
            <v>=</v>
          </cell>
          <cell r="K138">
            <v>0</v>
          </cell>
          <cell r="L138" t="str">
            <v>=</v>
          </cell>
          <cell r="M138">
            <v>0</v>
          </cell>
          <cell r="N138" t="str">
            <v>=</v>
          </cell>
        </row>
        <row r="139">
          <cell r="B139" t="str">
            <v>APPROPRIATIONS</v>
          </cell>
        </row>
        <row r="141">
          <cell r="B141" t="str">
            <v>Total  Dividend</v>
          </cell>
          <cell r="C141">
            <v>0.14617924623081921</v>
          </cell>
          <cell r="D141">
            <v>43.65</v>
          </cell>
          <cell r="E141">
            <v>0.13650183343445801</v>
          </cell>
          <cell r="F141">
            <v>41.395000000000003</v>
          </cell>
          <cell r="G141">
            <v>5.1295629457035939E-2</v>
          </cell>
          <cell r="H141">
            <v>14.53</v>
          </cell>
          <cell r="I141">
            <v>0</v>
          </cell>
          <cell r="J141">
            <v>0</v>
          </cell>
          <cell r="K141">
            <v>1.2938197356967636E-2</v>
          </cell>
          <cell r="L141">
            <v>3.27</v>
          </cell>
          <cell r="M141">
            <v>0</v>
          </cell>
          <cell r="N141">
            <v>0</v>
          </cell>
        </row>
        <row r="142">
          <cell r="B142" t="str">
            <v>Interim  Dividend</v>
          </cell>
          <cell r="D142">
            <v>23.45</v>
          </cell>
          <cell r="F142">
            <v>37.635000000000005</v>
          </cell>
          <cell r="H142">
            <v>13.09</v>
          </cell>
          <cell r="J142">
            <v>0</v>
          </cell>
          <cell r="L142">
            <v>3.27</v>
          </cell>
          <cell r="N142">
            <v>0</v>
          </cell>
        </row>
        <row r="144">
          <cell r="B144" t="str">
            <v xml:space="preserve">Proposed Dividend </v>
          </cell>
          <cell r="C144">
            <v>0</v>
          </cell>
          <cell r="D144">
            <v>16.23</v>
          </cell>
          <cell r="F144">
            <v>0</v>
          </cell>
          <cell r="H144">
            <v>0</v>
          </cell>
          <cell r="J144">
            <v>0</v>
          </cell>
          <cell r="L144">
            <v>0</v>
          </cell>
          <cell r="N144">
            <v>0</v>
          </cell>
        </row>
        <row r="146">
          <cell r="B146" t="str">
            <v xml:space="preserve"> Tax  on Dividends</v>
          </cell>
          <cell r="D146">
            <v>3.9699999999999998</v>
          </cell>
          <cell r="F146">
            <v>3.76</v>
          </cell>
          <cell r="H146">
            <v>1.44</v>
          </cell>
          <cell r="J146">
            <v>0</v>
          </cell>
          <cell r="L146">
            <v>0</v>
          </cell>
          <cell r="N146">
            <v>0</v>
          </cell>
        </row>
        <row r="148">
          <cell r="B148" t="str">
            <v>Transfer to  Reserves</v>
          </cell>
          <cell r="D148">
            <v>83.85</v>
          </cell>
          <cell r="F148">
            <v>13.5</v>
          </cell>
          <cell r="H148">
            <v>37</v>
          </cell>
          <cell r="J148">
            <v>25.134</v>
          </cell>
          <cell r="L148">
            <v>28.54</v>
          </cell>
          <cell r="N148">
            <v>0</v>
          </cell>
        </row>
        <row r="150">
          <cell r="B150" t="str">
            <v>Balance Carried  to Balance Sheet</v>
          </cell>
          <cell r="D150">
            <v>133.65185000000037</v>
          </cell>
          <cell r="F150">
            <v>218.1038699999996</v>
          </cell>
          <cell r="H150">
            <v>304.03986999999972</v>
          </cell>
          <cell r="J150">
            <v>285.98286999999971</v>
          </cell>
          <cell r="L150">
            <v>464.60106999999999</v>
          </cell>
          <cell r="N150">
            <v>804.87507000000028</v>
          </cell>
        </row>
        <row r="151">
          <cell r="C151">
            <v>0</v>
          </cell>
          <cell r="D151" t="str">
            <v>-</v>
          </cell>
          <cell r="E151">
            <v>0</v>
          </cell>
          <cell r="F151" t="str">
            <v>-</v>
          </cell>
          <cell r="G151">
            <v>0</v>
          </cell>
          <cell r="H151" t="str">
            <v>-</v>
          </cell>
          <cell r="I151">
            <v>0</v>
          </cell>
          <cell r="J151" t="str">
            <v>-</v>
          </cell>
          <cell r="K151">
            <v>0</v>
          </cell>
          <cell r="L151" t="str">
            <v>-</v>
          </cell>
          <cell r="M151">
            <v>0</v>
          </cell>
          <cell r="N151" t="str">
            <v>-</v>
          </cell>
        </row>
        <row r="152">
          <cell r="D152">
            <v>261.15185000000037</v>
          </cell>
          <cell r="F152">
            <v>272.99886999999961</v>
          </cell>
          <cell r="H152">
            <v>355.5698699999997</v>
          </cell>
          <cell r="J152">
            <v>311.11686999999972</v>
          </cell>
          <cell r="L152">
            <v>496.41107</v>
          </cell>
          <cell r="N152">
            <v>804.87507000000028</v>
          </cell>
        </row>
        <row r="153">
          <cell r="C153">
            <v>0</v>
          </cell>
          <cell r="D153" t="str">
            <v>=</v>
          </cell>
          <cell r="E153">
            <v>0</v>
          </cell>
          <cell r="F153" t="str">
            <v>=</v>
          </cell>
          <cell r="G153">
            <v>0</v>
          </cell>
          <cell r="H153" t="str">
            <v>=</v>
          </cell>
          <cell r="I153">
            <v>0</v>
          </cell>
          <cell r="J153" t="str">
            <v>=</v>
          </cell>
          <cell r="K153">
            <v>0</v>
          </cell>
          <cell r="L153" t="str">
            <v>=</v>
          </cell>
          <cell r="M153">
            <v>0</v>
          </cell>
          <cell r="N153" t="str">
            <v>=</v>
          </cell>
        </row>
        <row r="176">
          <cell r="B176" t="str">
            <v>DETAILS  FOR  CALCULATING RATIOS</v>
          </cell>
        </row>
        <row r="178">
          <cell r="B178" t="str">
            <v>-</v>
          </cell>
          <cell r="C178" t="str">
            <v>-</v>
          </cell>
          <cell r="D178" t="str">
            <v>-</v>
          </cell>
          <cell r="E178" t="str">
            <v>-</v>
          </cell>
          <cell r="F178" t="str">
            <v>-</v>
          </cell>
          <cell r="G178" t="str">
            <v>-</v>
          </cell>
          <cell r="H178" t="str">
            <v>-</v>
          </cell>
        </row>
        <row r="179">
          <cell r="B179" t="str">
            <v>PARTICULARS</v>
          </cell>
          <cell r="C179" t="str">
            <v>1997-98</v>
          </cell>
          <cell r="D179" t="str">
            <v>1998-99</v>
          </cell>
          <cell r="E179" t="str">
            <v>1999-00</v>
          </cell>
          <cell r="F179" t="str">
            <v>2000-01</v>
          </cell>
          <cell r="G179" t="str">
            <v>2001-02</v>
          </cell>
          <cell r="H179" t="str">
            <v>2002-03</v>
          </cell>
        </row>
        <row r="180">
          <cell r="B180" t="str">
            <v>-</v>
          </cell>
          <cell r="C180" t="str">
            <v>-</v>
          </cell>
          <cell r="D180" t="str">
            <v>-</v>
          </cell>
          <cell r="E180" t="str">
            <v>-</v>
          </cell>
          <cell r="F180" t="str">
            <v>-</v>
          </cell>
          <cell r="G180" t="str">
            <v>-</v>
          </cell>
          <cell r="H180" t="str">
            <v>-</v>
          </cell>
        </row>
        <row r="181">
          <cell r="B181" t="str">
            <v>Total  Share  Capital</v>
          </cell>
          <cell r="C181">
            <v>298.60599999999999</v>
          </cell>
          <cell r="D181">
            <v>303.25600000000003</v>
          </cell>
          <cell r="E181">
            <v>283.26</v>
          </cell>
          <cell r="F181">
            <v>268.536</v>
          </cell>
          <cell r="G181">
            <v>252.73999999999998</v>
          </cell>
          <cell r="H181">
            <v>279.74</v>
          </cell>
        </row>
        <row r="183">
          <cell r="B183" t="str">
            <v>Total  Dividend</v>
          </cell>
          <cell r="C183">
            <v>43.65</v>
          </cell>
          <cell r="D183">
            <v>41.395000000000003</v>
          </cell>
          <cell r="E183">
            <v>14.53</v>
          </cell>
          <cell r="F183">
            <v>0</v>
          </cell>
          <cell r="G183">
            <v>3.27</v>
          </cell>
          <cell r="H183">
            <v>0</v>
          </cell>
        </row>
        <row r="185">
          <cell r="B185" t="str">
            <v>Loan  Funds</v>
          </cell>
          <cell r="C185">
            <v>786.9369999999999</v>
          </cell>
          <cell r="D185">
            <v>1132.4580000000001</v>
          </cell>
          <cell r="E185">
            <v>1317.47</v>
          </cell>
          <cell r="F185">
            <v>854.05499999999995</v>
          </cell>
          <cell r="G185">
            <v>795.697</v>
          </cell>
          <cell r="H185">
            <v>1315.8440000000001</v>
          </cell>
        </row>
        <row r="187">
          <cell r="B187" t="str">
            <v>Term  Loans</v>
          </cell>
          <cell r="C187">
            <v>433.46</v>
          </cell>
          <cell r="D187">
            <v>529.88</v>
          </cell>
          <cell r="E187">
            <v>778.13999999999987</v>
          </cell>
          <cell r="F187">
            <v>677.78</v>
          </cell>
          <cell r="G187">
            <v>672.27</v>
          </cell>
          <cell r="H187">
            <v>1017.4369999999999</v>
          </cell>
        </row>
        <row r="189">
          <cell r="B189" t="str">
            <v>Unsecured  Loan</v>
          </cell>
          <cell r="C189">
            <v>89.367000000000004</v>
          </cell>
          <cell r="D189">
            <v>310.14</v>
          </cell>
          <cell r="E189">
            <v>116.75</v>
          </cell>
          <cell r="F189">
            <v>13.775</v>
          </cell>
          <cell r="G189">
            <v>17.29</v>
          </cell>
          <cell r="H189">
            <v>98.785000000000011</v>
          </cell>
        </row>
        <row r="191">
          <cell r="B191" t="str">
            <v>Working  Capital  Loan</v>
          </cell>
          <cell r="C191">
            <v>264.11</v>
          </cell>
          <cell r="D191">
            <v>292.44</v>
          </cell>
          <cell r="E191">
            <v>422.58000000000004</v>
          </cell>
          <cell r="F191">
            <v>162.5</v>
          </cell>
          <cell r="G191">
            <v>106.137</v>
          </cell>
          <cell r="H191">
            <v>197.20699999999999</v>
          </cell>
        </row>
        <row r="193">
          <cell r="B193" t="str">
            <v>Debt</v>
          </cell>
          <cell r="C193">
            <v>433.45999999999992</v>
          </cell>
          <cell r="D193">
            <v>529.87800000000016</v>
          </cell>
          <cell r="E193">
            <v>778.14</v>
          </cell>
          <cell r="F193">
            <v>677.78</v>
          </cell>
          <cell r="G193">
            <v>672.27</v>
          </cell>
          <cell r="H193">
            <v>1019.852</v>
          </cell>
        </row>
        <row r="195">
          <cell r="B195" t="str">
            <v>Current  Assets:</v>
          </cell>
        </row>
        <row r="197">
          <cell r="B197" t="str">
            <v>a. Inventories</v>
          </cell>
          <cell r="C197">
            <v>104.86</v>
          </cell>
          <cell r="D197">
            <v>129.08699999999999</v>
          </cell>
          <cell r="E197">
            <v>155.76</v>
          </cell>
          <cell r="F197">
            <v>228.06</v>
          </cell>
          <cell r="G197">
            <v>275.24300000000005</v>
          </cell>
          <cell r="H197">
            <v>405.64699999999999</v>
          </cell>
        </row>
        <row r="199">
          <cell r="B199" t="str">
            <v>b. Sundry  Debtors</v>
          </cell>
          <cell r="C199">
            <v>104.93</v>
          </cell>
          <cell r="D199">
            <v>79.63</v>
          </cell>
          <cell r="E199">
            <v>189.62</v>
          </cell>
          <cell r="F199">
            <v>198.18</v>
          </cell>
          <cell r="G199">
            <v>214.24799999999999</v>
          </cell>
          <cell r="H199">
            <v>146.32</v>
          </cell>
        </row>
        <row r="201">
          <cell r="B201" t="str">
            <v>c.  Cash &amp; Bank Balances</v>
          </cell>
          <cell r="C201">
            <v>25.63</v>
          </cell>
          <cell r="D201">
            <v>37.878</v>
          </cell>
          <cell r="E201">
            <v>29.16</v>
          </cell>
          <cell r="F201">
            <v>38.74</v>
          </cell>
          <cell r="G201">
            <v>3.2490000000000001</v>
          </cell>
          <cell r="H201">
            <v>4.3639999999999999</v>
          </cell>
        </row>
        <row r="203">
          <cell r="B203" t="str">
            <v>d.  Loans &amp;  Advances</v>
          </cell>
          <cell r="C203">
            <v>126.03399999999999</v>
          </cell>
          <cell r="D203">
            <v>335.98800000000006</v>
          </cell>
          <cell r="E203">
            <v>485.39</v>
          </cell>
          <cell r="F203">
            <v>73.804999999999993</v>
          </cell>
          <cell r="G203">
            <v>145.55700000000002</v>
          </cell>
          <cell r="H203">
            <v>136.51299999999998</v>
          </cell>
        </row>
        <row r="205">
          <cell r="B205" t="str">
            <v>e.  Deposits</v>
          </cell>
          <cell r="C205">
            <v>58.286000000000001</v>
          </cell>
          <cell r="D205">
            <v>34.449999999999996</v>
          </cell>
          <cell r="E205">
            <v>8.4699999999999989</v>
          </cell>
          <cell r="F205">
            <v>8.4849999999999994</v>
          </cell>
          <cell r="G205">
            <v>8.69</v>
          </cell>
          <cell r="H205">
            <v>114.32000000000001</v>
          </cell>
        </row>
        <row r="207">
          <cell r="B207" t="str">
            <v>f. Trade  Investments</v>
          </cell>
          <cell r="C207">
            <v>29.998999999999999</v>
          </cell>
          <cell r="D207">
            <v>58.198999999999998</v>
          </cell>
          <cell r="E207">
            <v>58.198999999999998</v>
          </cell>
          <cell r="F207">
            <v>58.198999999999998</v>
          </cell>
          <cell r="G207">
            <v>58.198999999999998</v>
          </cell>
          <cell r="H207">
            <v>178.19900000000001</v>
          </cell>
        </row>
        <row r="208">
          <cell r="C208" t="str">
            <v>-</v>
          </cell>
          <cell r="D208" t="str">
            <v>-</v>
          </cell>
          <cell r="E208" t="str">
            <v>-</v>
          </cell>
          <cell r="F208" t="str">
            <v>-</v>
          </cell>
          <cell r="G208" t="str">
            <v>-</v>
          </cell>
          <cell r="H208" t="str">
            <v>-</v>
          </cell>
        </row>
        <row r="209">
          <cell r="B209" t="str">
            <v xml:space="preserve">         Total Current  Assets</v>
          </cell>
          <cell r="C209">
            <v>449.73900000000003</v>
          </cell>
          <cell r="D209">
            <v>675.23200000000008</v>
          </cell>
          <cell r="E209">
            <v>926.59900000000005</v>
          </cell>
          <cell r="F209">
            <v>605.46899999999994</v>
          </cell>
          <cell r="G209">
            <v>705.18600000000004</v>
          </cell>
          <cell r="H209">
            <v>985.36300000000006</v>
          </cell>
        </row>
        <row r="211">
          <cell r="B211" t="str">
            <v>Current Liabilities</v>
          </cell>
          <cell r="C211">
            <v>71.275000000000006</v>
          </cell>
          <cell r="D211">
            <v>131.01</v>
          </cell>
          <cell r="E211">
            <v>126.38999999999999</v>
          </cell>
          <cell r="F211">
            <v>100.91</v>
          </cell>
          <cell r="G211">
            <v>163.93899999999999</v>
          </cell>
          <cell r="H211">
            <v>123.041</v>
          </cell>
        </row>
        <row r="212">
          <cell r="C212" t="str">
            <v>-</v>
          </cell>
          <cell r="D212" t="str">
            <v>-</v>
          </cell>
          <cell r="E212" t="str">
            <v>-</v>
          </cell>
          <cell r="F212" t="str">
            <v>-</v>
          </cell>
          <cell r="G212" t="str">
            <v>-</v>
          </cell>
          <cell r="H212" t="str">
            <v>-</v>
          </cell>
        </row>
        <row r="213">
          <cell r="B213" t="str">
            <v xml:space="preserve">         Total  Current Liabilities</v>
          </cell>
          <cell r="C213">
            <v>319.15499999999997</v>
          </cell>
          <cell r="D213">
            <v>423.45</v>
          </cell>
          <cell r="E213">
            <v>548.97</v>
          </cell>
          <cell r="F213">
            <v>263.40999999999997</v>
          </cell>
          <cell r="G213">
            <v>270.07600000000002</v>
          </cell>
          <cell r="H213">
            <v>320.24799999999999</v>
          </cell>
        </row>
        <row r="214">
          <cell r="C214" t="str">
            <v>-</v>
          </cell>
          <cell r="D214" t="str">
            <v>-</v>
          </cell>
          <cell r="E214" t="str">
            <v>-</v>
          </cell>
          <cell r="F214" t="str">
            <v>-</v>
          </cell>
          <cell r="G214" t="str">
            <v>-</v>
          </cell>
          <cell r="H214" t="str">
            <v>-</v>
          </cell>
        </row>
        <row r="215">
          <cell r="B215" t="str">
            <v xml:space="preserve">Working  Capital  </v>
          </cell>
          <cell r="C215">
            <v>130.58400000000006</v>
          </cell>
          <cell r="D215">
            <v>251.7820000000001</v>
          </cell>
          <cell r="E215">
            <v>377.62900000000002</v>
          </cell>
          <cell r="F215">
            <v>342.05899999999997</v>
          </cell>
          <cell r="G215">
            <v>435.11</v>
          </cell>
          <cell r="H215">
            <v>665.11500000000001</v>
          </cell>
        </row>
        <row r="217">
          <cell r="B217" t="str">
            <v>L.T. Funds</v>
          </cell>
          <cell r="C217">
            <v>1057.8789999999999</v>
          </cell>
          <cell r="D217">
            <v>1585.7090000000001</v>
          </cell>
          <cell r="E217">
            <v>1707.9940000000001</v>
          </cell>
          <cell r="F217">
            <v>1404.895</v>
          </cell>
          <cell r="G217">
            <v>1531.6320000000001</v>
          </cell>
          <cell r="H217">
            <v>2710.9780000000001</v>
          </cell>
        </row>
        <row r="219">
          <cell r="B219" t="str">
            <v>Turnover</v>
          </cell>
          <cell r="C219">
            <v>2849.6959999999999</v>
          </cell>
          <cell r="D219">
            <v>2975.21</v>
          </cell>
          <cell r="E219">
            <v>4497.33</v>
          </cell>
          <cell r="F219">
            <v>5949.45</v>
          </cell>
          <cell r="G219">
            <v>6130.15</v>
          </cell>
          <cell r="H219">
            <v>7121.7079999999996</v>
          </cell>
        </row>
        <row r="221">
          <cell r="B221" t="str">
            <v>Gross  Profit</v>
          </cell>
          <cell r="C221">
            <v>487.50984999999991</v>
          </cell>
          <cell r="D221">
            <v>573.83701999999982</v>
          </cell>
          <cell r="E221">
            <v>662.39400000000012</v>
          </cell>
          <cell r="F221">
            <v>879.17</v>
          </cell>
          <cell r="G221">
            <v>985.3131999999996</v>
          </cell>
          <cell r="H221">
            <v>980.15699999999981</v>
          </cell>
        </row>
        <row r="223">
          <cell r="B223" t="str">
            <v>Net Profit for the Year</v>
          </cell>
          <cell r="C223">
            <v>166.72185000000036</v>
          </cell>
          <cell r="D223">
            <v>139.34701999999925</v>
          </cell>
          <cell r="E223">
            <v>137.96900000000005</v>
          </cell>
          <cell r="F223">
            <v>254.10699999999997</v>
          </cell>
          <cell r="G223">
            <v>227.67820000000029</v>
          </cell>
          <cell r="H223">
            <v>369.27400000000034</v>
          </cell>
        </row>
        <row r="225">
          <cell r="B225" t="str">
            <v>Interest  &amp;  Finance  Charges</v>
          </cell>
          <cell r="C225">
            <v>109.2</v>
          </cell>
          <cell r="D225">
            <v>118.92</v>
          </cell>
          <cell r="E225">
            <v>171.28399999999999</v>
          </cell>
          <cell r="F225">
            <v>162.24299999999999</v>
          </cell>
          <cell r="G225">
            <v>106.84</v>
          </cell>
          <cell r="H225">
            <v>104.47800000000001</v>
          </cell>
        </row>
        <row r="227">
          <cell r="B227" t="str">
            <v>PBIT</v>
          </cell>
          <cell r="C227">
            <v>275.92185000000035</v>
          </cell>
          <cell r="D227">
            <v>258.26701999999926</v>
          </cell>
          <cell r="E227">
            <v>309.25300000000004</v>
          </cell>
          <cell r="F227">
            <v>416.34999999999997</v>
          </cell>
          <cell r="G227">
            <v>334.51820000000032</v>
          </cell>
          <cell r="H227">
            <v>473.75200000000035</v>
          </cell>
        </row>
        <row r="229">
          <cell r="B229" t="str">
            <v xml:space="preserve">F.G.Inventory </v>
          </cell>
          <cell r="C229">
            <v>0</v>
          </cell>
          <cell r="D229">
            <v>0</v>
          </cell>
          <cell r="E229">
            <v>0</v>
          </cell>
          <cell r="F229">
            <v>0</v>
          </cell>
          <cell r="G229">
            <v>0</v>
          </cell>
          <cell r="H229">
            <v>0</v>
          </cell>
        </row>
        <row r="231">
          <cell r="B231" t="str">
            <v>R.M.Inventory</v>
          </cell>
          <cell r="C231">
            <v>0</v>
          </cell>
          <cell r="D231">
            <v>0</v>
          </cell>
          <cell r="E231">
            <v>0</v>
          </cell>
          <cell r="F231">
            <v>0</v>
          </cell>
          <cell r="G231">
            <v>0</v>
          </cell>
          <cell r="H231">
            <v>0</v>
          </cell>
        </row>
        <row r="232">
          <cell r="B232" t="str">
            <v>=</v>
          </cell>
          <cell r="C232" t="str">
            <v>=</v>
          </cell>
          <cell r="D232" t="str">
            <v>=</v>
          </cell>
          <cell r="E232" t="str">
            <v>=</v>
          </cell>
          <cell r="F232" t="str">
            <v>=</v>
          </cell>
          <cell r="G232" t="str">
            <v>=</v>
          </cell>
          <cell r="H232" t="str">
            <v>=</v>
          </cell>
        </row>
        <row r="236">
          <cell r="B236" t="str">
            <v>CALCULATION  OF  VARIOUS  RATIOS</v>
          </cell>
        </row>
        <row r="237">
          <cell r="H237" t="str">
            <v>(RS.IN LACS)</v>
          </cell>
        </row>
        <row r="238">
          <cell r="B238" t="str">
            <v>-</v>
          </cell>
          <cell r="C238" t="str">
            <v>-</v>
          </cell>
          <cell r="D238" t="str">
            <v>-</v>
          </cell>
          <cell r="E238" t="str">
            <v>-</v>
          </cell>
          <cell r="F238" t="str">
            <v>-</v>
          </cell>
          <cell r="G238" t="str">
            <v>-</v>
          </cell>
          <cell r="H238" t="str">
            <v>-</v>
          </cell>
        </row>
        <row r="239">
          <cell r="B239" t="str">
            <v>PARTICULARS</v>
          </cell>
          <cell r="C239" t="str">
            <v>1997-98</v>
          </cell>
          <cell r="D239" t="str">
            <v>1998-99</v>
          </cell>
          <cell r="E239" t="str">
            <v>1999-00</v>
          </cell>
          <cell r="F239" t="str">
            <v>2000-01</v>
          </cell>
          <cell r="G239" t="str">
            <v>2001-02</v>
          </cell>
          <cell r="H239" t="str">
            <v>2002-03</v>
          </cell>
        </row>
        <row r="240">
          <cell r="B240" t="str">
            <v>-</v>
          </cell>
          <cell r="C240" t="str">
            <v>-</v>
          </cell>
          <cell r="D240" t="str">
            <v>-</v>
          </cell>
          <cell r="E240" t="str">
            <v>-</v>
          </cell>
          <cell r="F240" t="str">
            <v>-</v>
          </cell>
          <cell r="G240" t="str">
            <v>-</v>
          </cell>
          <cell r="H240" t="str">
            <v>-</v>
          </cell>
        </row>
        <row r="241">
          <cell r="B241" t="str">
            <v>NET PROFIT AFTER TAX</v>
          </cell>
          <cell r="C241">
            <v>166.72185000000036</v>
          </cell>
          <cell r="D241">
            <v>139.34701999999925</v>
          </cell>
          <cell r="E241">
            <v>137.46600000000007</v>
          </cell>
          <cell r="F241">
            <v>7.0769999999999698</v>
          </cell>
          <cell r="G241">
            <v>210.42820000000029</v>
          </cell>
          <cell r="H241">
            <v>340.27400000000034</v>
          </cell>
        </row>
        <row r="243">
          <cell r="B243" t="str">
            <v>CASH PROFIT</v>
          </cell>
          <cell r="C243">
            <v>210.75885000000036</v>
          </cell>
          <cell r="D243">
            <v>194.32201999999924</v>
          </cell>
          <cell r="E243">
            <v>210.03300000000007</v>
          </cell>
          <cell r="F243">
            <v>155.43999999999997</v>
          </cell>
          <cell r="G243">
            <v>463.07320000000027</v>
          </cell>
          <cell r="H243">
            <v>475.27400000000034</v>
          </cell>
        </row>
        <row r="245">
          <cell r="B245" t="str">
            <v>CASH PROFIT RATIO</v>
          </cell>
          <cell r="C245">
            <v>7.3714226055861793</v>
          </cell>
          <cell r="D245">
            <v>6.4617202255858857</v>
          </cell>
          <cell r="E245">
            <v>4.6125151694964783</v>
          </cell>
          <cell r="F245">
            <v>2.5908527762577607</v>
          </cell>
          <cell r="G245">
            <v>7.5959847836615157</v>
          </cell>
          <cell r="H245">
            <v>6.4537294697916261</v>
          </cell>
        </row>
        <row r="247">
          <cell r="B247" t="str">
            <v>EQUITY SHARE CAPITAL</v>
          </cell>
          <cell r="C247">
            <v>261.77600000000001</v>
          </cell>
          <cell r="D247">
            <v>261.77600000000001</v>
          </cell>
          <cell r="E247">
            <v>261.77999999999997</v>
          </cell>
          <cell r="F247">
            <v>249.55600000000001</v>
          </cell>
          <cell r="G247">
            <v>245.98399999999998</v>
          </cell>
          <cell r="H247">
            <v>245.98400000000001</v>
          </cell>
        </row>
        <row r="249">
          <cell r="B249" t="str">
            <v>PREFERENCE SHARE CAPITAL</v>
          </cell>
          <cell r="C249">
            <v>36.83</v>
          </cell>
          <cell r="D249">
            <v>41.48</v>
          </cell>
          <cell r="E249">
            <v>21.48</v>
          </cell>
          <cell r="F249">
            <v>18.98</v>
          </cell>
          <cell r="G249">
            <v>6.7560000000000002</v>
          </cell>
          <cell r="H249">
            <v>33.756</v>
          </cell>
        </row>
        <row r="251">
          <cell r="B251" t="str">
            <v>RESERVES &amp; SURPLUS</v>
          </cell>
          <cell r="C251">
            <v>240.446</v>
          </cell>
          <cell r="D251">
            <v>445.875</v>
          </cell>
          <cell r="E251">
            <v>532.72</v>
          </cell>
          <cell r="F251">
            <v>447.12</v>
          </cell>
          <cell r="G251">
            <v>591.08699999999999</v>
          </cell>
          <cell r="H251">
            <v>1314.356</v>
          </cell>
        </row>
        <row r="253">
          <cell r="B253" t="str">
            <v>NET  WORTH</v>
          </cell>
          <cell r="C253">
            <v>535.05200000000002</v>
          </cell>
          <cell r="D253">
            <v>745.69100000000003</v>
          </cell>
          <cell r="E253">
            <v>813.10400000000004</v>
          </cell>
          <cell r="F253">
            <v>713.33999999999992</v>
          </cell>
          <cell r="G253">
            <v>842.072</v>
          </cell>
          <cell r="H253">
            <v>1592.3409999999999</v>
          </cell>
        </row>
        <row r="255">
          <cell r="B255" t="str">
            <v>UNSECURED  LOAN</v>
          </cell>
          <cell r="C255">
            <v>89.367000000000004</v>
          </cell>
          <cell r="D255">
            <v>310.14</v>
          </cell>
          <cell r="E255">
            <v>116.75</v>
          </cell>
          <cell r="F255">
            <v>13.775</v>
          </cell>
          <cell r="G255">
            <v>17.29</v>
          </cell>
          <cell r="H255">
            <v>98.785000000000011</v>
          </cell>
        </row>
        <row r="257">
          <cell r="B257" t="str">
            <v>TERM LOANS</v>
          </cell>
          <cell r="C257">
            <v>433.46</v>
          </cell>
          <cell r="D257">
            <v>529.88</v>
          </cell>
          <cell r="E257">
            <v>778.13999999999987</v>
          </cell>
          <cell r="F257">
            <v>677.78</v>
          </cell>
          <cell r="G257">
            <v>672.27</v>
          </cell>
          <cell r="H257">
            <v>1017.4369999999999</v>
          </cell>
        </row>
        <row r="259">
          <cell r="B259" t="str">
            <v>EQUITY SHARES OF Rs.10 EACH</v>
          </cell>
          <cell r="C259">
            <v>2617760</v>
          </cell>
          <cell r="D259">
            <v>2617760</v>
          </cell>
          <cell r="E259">
            <v>2617799.9999999995</v>
          </cell>
          <cell r="F259">
            <v>2495560</v>
          </cell>
          <cell r="G259">
            <v>2459839.9999999995</v>
          </cell>
          <cell r="H259">
            <v>2459840</v>
          </cell>
        </row>
        <row r="261">
          <cell r="B261" t="str">
            <v>EPS</v>
          </cell>
          <cell r="C261">
            <v>6.3688745339527069</v>
          </cell>
          <cell r="D261">
            <v>5.3231396308293828</v>
          </cell>
          <cell r="E261">
            <v>5.2512033004813237</v>
          </cell>
          <cell r="F261">
            <v>0.28358364455272439</v>
          </cell>
          <cell r="G261">
            <v>8.554548263301692</v>
          </cell>
          <cell r="H261">
            <v>13.833176141537674</v>
          </cell>
        </row>
        <row r="263">
          <cell r="B263" t="str">
            <v>CASH  EPS</v>
          </cell>
          <cell r="C263">
            <v>8.0511143114724177</v>
          </cell>
          <cell r="D263">
            <v>7.4232175600513122</v>
          </cell>
          <cell r="E263">
            <v>8.0232638093055275</v>
          </cell>
          <cell r="F263">
            <v>6.2286621038965189</v>
          </cell>
          <cell r="G263">
            <v>18.82533823338105</v>
          </cell>
          <cell r="H263">
            <v>19.321337973201523</v>
          </cell>
        </row>
        <row r="265">
          <cell r="B265" t="str">
            <v>DIVIDEND %</v>
          </cell>
          <cell r="C265">
            <v>0.14617924623081921</v>
          </cell>
          <cell r="D265">
            <v>0.13650183343445801</v>
          </cell>
          <cell r="E265">
            <v>5.1295629457035939E-2</v>
          </cell>
          <cell r="F265">
            <v>0</v>
          </cell>
          <cell r="G265">
            <v>1.2938197356967636E-2</v>
          </cell>
          <cell r="H265">
            <v>0</v>
          </cell>
        </row>
        <row r="267">
          <cell r="B267" t="str">
            <v>NET  WORTH</v>
          </cell>
          <cell r="C267">
            <v>535.05200000000002</v>
          </cell>
          <cell r="D267">
            <v>745.69100000000003</v>
          </cell>
          <cell r="E267">
            <v>813.10400000000004</v>
          </cell>
          <cell r="F267">
            <v>713.33999999999992</v>
          </cell>
          <cell r="G267">
            <v>842.072</v>
          </cell>
          <cell r="H267">
            <v>1592.3409999999999</v>
          </cell>
        </row>
        <row r="269">
          <cell r="B269" t="str">
            <v>BOOK VALUE PER SHARE</v>
          </cell>
          <cell r="C269">
            <v>20.439306888332009</v>
          </cell>
          <cell r="D269">
            <v>28.485842858016017</v>
          </cell>
          <cell r="E269">
            <v>31.060585224234096</v>
          </cell>
          <cell r="F269">
            <v>28.584365833720682</v>
          </cell>
          <cell r="G269">
            <v>34.232795628984</v>
          </cell>
          <cell r="H269">
            <v>64.733519253284754</v>
          </cell>
        </row>
        <row r="271">
          <cell r="B271" t="str">
            <v>DEBT -EQUITY RATIO</v>
          </cell>
          <cell r="C271">
            <v>0.69418131094665592</v>
          </cell>
          <cell r="D271">
            <v>0.50185872549678889</v>
          </cell>
          <cell r="E271">
            <v>0.83684105246630114</v>
          </cell>
          <cell r="F271">
            <v>0.93214965995750343</v>
          </cell>
          <cell r="G271">
            <v>0.78228965209073709</v>
          </cell>
          <cell r="H271">
            <v>0.60306091917456184</v>
          </cell>
        </row>
        <row r="273">
          <cell r="B273" t="str">
            <v>CURRENT  RATIO</v>
          </cell>
          <cell r="C273">
            <v>1.4091554260469052</v>
          </cell>
          <cell r="D273">
            <v>1.5945967646711539</v>
          </cell>
          <cell r="E273">
            <v>1.6878864054502067</v>
          </cell>
          <cell r="F273">
            <v>2.2985801602065221</v>
          </cell>
          <cell r="G273">
            <v>2.611065033546113</v>
          </cell>
          <cell r="H273">
            <v>3.0768747970323003</v>
          </cell>
        </row>
        <row r="275">
          <cell r="B275" t="str">
            <v>LIQUID  RATIO</v>
          </cell>
          <cell r="C275">
            <v>1.0806003352602969</v>
          </cell>
          <cell r="D275">
            <v>1.28975085606329</v>
          </cell>
          <cell r="E275">
            <v>1.4041550540102374</v>
          </cell>
          <cell r="F275">
            <v>1.432781595231768</v>
          </cell>
          <cell r="G275">
            <v>1.5919333817147765</v>
          </cell>
          <cell r="H275">
            <v>1.810209587569634</v>
          </cell>
        </row>
        <row r="276">
          <cell r="B276" t="str">
            <v>=</v>
          </cell>
          <cell r="C276" t="str">
            <v>=</v>
          </cell>
          <cell r="D276" t="str">
            <v>=</v>
          </cell>
          <cell r="E276" t="str">
            <v>=</v>
          </cell>
          <cell r="F276" t="str">
            <v>=</v>
          </cell>
          <cell r="G276" t="str">
            <v>=</v>
          </cell>
          <cell r="H276" t="str">
            <v>=</v>
          </cell>
        </row>
        <row r="278">
          <cell r="H278" t="str">
            <v>(RS.IN LACS)</v>
          </cell>
        </row>
        <row r="279">
          <cell r="B279" t="str">
            <v>-</v>
          </cell>
          <cell r="C279" t="str">
            <v>-</v>
          </cell>
          <cell r="D279" t="str">
            <v>-</v>
          </cell>
          <cell r="E279" t="str">
            <v>-</v>
          </cell>
          <cell r="F279" t="str">
            <v>-</v>
          </cell>
          <cell r="G279" t="str">
            <v>-</v>
          </cell>
          <cell r="H279" t="str">
            <v>-</v>
          </cell>
        </row>
        <row r="280">
          <cell r="B280" t="str">
            <v>PARTICULARS</v>
          </cell>
          <cell r="C280" t="str">
            <v>1997-98</v>
          </cell>
          <cell r="D280" t="str">
            <v>1998-99</v>
          </cell>
          <cell r="E280" t="str">
            <v>1999-00</v>
          </cell>
          <cell r="F280" t="str">
            <v>2000-01</v>
          </cell>
          <cell r="G280" t="str">
            <v>2001-02</v>
          </cell>
          <cell r="H280" t="str">
            <v>2002-03</v>
          </cell>
        </row>
        <row r="281">
          <cell r="B281" t="str">
            <v>-</v>
          </cell>
          <cell r="C281" t="str">
            <v>-</v>
          </cell>
          <cell r="D281" t="str">
            <v>-</v>
          </cell>
          <cell r="E281" t="str">
            <v>-</v>
          </cell>
          <cell r="F281" t="str">
            <v>-</v>
          </cell>
          <cell r="G281" t="str">
            <v>-</v>
          </cell>
          <cell r="H281" t="str">
            <v>-</v>
          </cell>
        </row>
        <row r="282">
          <cell r="B282" t="str">
            <v>FIXED  ASSETS/ L.T.FUNDS</v>
          </cell>
          <cell r="C282">
            <v>0.82795858505556896</v>
          </cell>
          <cell r="D282">
            <v>0.81305586333936419</v>
          </cell>
          <cell r="E282">
            <v>0.81468670264649634</v>
          </cell>
          <cell r="F282">
            <v>0.73817545083440417</v>
          </cell>
          <cell r="G282">
            <v>0.74205553292174609</v>
          </cell>
          <cell r="H282">
            <v>0.59947148224736602</v>
          </cell>
        </row>
        <row r="284">
          <cell r="B284" t="str">
            <v>RETURN  ON NET  WORTH</v>
          </cell>
          <cell r="D284">
            <v>0.21760340677247386</v>
          </cell>
          <cell r="E284">
            <v>0.17637469968790001</v>
          </cell>
          <cell r="F284">
            <v>9.2725314521855638E-3</v>
          </cell>
          <cell r="G284">
            <v>0.27057551311163897</v>
          </cell>
          <cell r="H284">
            <v>0.27955322289192536</v>
          </cell>
        </row>
        <row r="286">
          <cell r="B286" t="str">
            <v>RETURN ON  CAPITAL</v>
          </cell>
          <cell r="C286">
            <v>0.55833389148242285</v>
          </cell>
          <cell r="D286">
            <v>0.45950292821905991</v>
          </cell>
          <cell r="E286">
            <v>0.48529972463461157</v>
          </cell>
          <cell r="F286">
            <v>2.6354008401108117E-2</v>
          </cell>
          <cell r="G286">
            <v>0.83258763947139469</v>
          </cell>
          <cell r="H286">
            <v>1.2163937942375074</v>
          </cell>
        </row>
        <row r="288">
          <cell r="B288" t="str">
            <v>GROSS  PROFIT  RATIO</v>
          </cell>
          <cell r="C288">
            <v>0.17107433564843405</v>
          </cell>
          <cell r="D288">
            <v>0.19287277872822417</v>
          </cell>
          <cell r="E288">
            <v>0.14728605639346015</v>
          </cell>
          <cell r="F288">
            <v>0.14777332358453302</v>
          </cell>
          <cell r="G288">
            <v>0.16073231486994602</v>
          </cell>
          <cell r="H288">
            <v>0.13762948438773392</v>
          </cell>
        </row>
        <row r="290">
          <cell r="B290" t="str">
            <v>NET  PROFIT  RATIO</v>
          </cell>
          <cell r="C290">
            <v>5.8505135284605922E-2</v>
          </cell>
          <cell r="D290">
            <v>4.6836028381189644E-2</v>
          </cell>
          <cell r="E290">
            <v>3.0566135907305017E-2</v>
          </cell>
          <cell r="F290">
            <v>1.1895217204951668E-3</v>
          </cell>
          <cell r="G290">
            <v>3.432676198787963E-2</v>
          </cell>
          <cell r="H290">
            <v>4.7779830344069199E-2</v>
          </cell>
        </row>
        <row r="292">
          <cell r="B292" t="str">
            <v>CAPITAL  TURNOVER RATIO</v>
          </cell>
          <cell r="C292">
            <v>9.543331346322578</v>
          </cell>
          <cell r="D292">
            <v>9.8108858522172682</v>
          </cell>
          <cell r="E292">
            <v>15.877038762973946</v>
          </cell>
          <cell r="F292">
            <v>22.155130038430602</v>
          </cell>
          <cell r="G292">
            <v>24.25476774550922</v>
          </cell>
          <cell r="H292">
            <v>25.458311289054119</v>
          </cell>
        </row>
        <row r="294">
          <cell r="B294" t="str">
            <v>WORKING  CAP.  TURNOVER</v>
          </cell>
          <cell r="C294">
            <v>21.822704159774542</v>
          </cell>
          <cell r="D294">
            <v>11.81661119539919</v>
          </cell>
          <cell r="E294">
            <v>11.909387255745719</v>
          </cell>
          <cell r="F294">
            <v>17.393052075811482</v>
          </cell>
          <cell r="G294">
            <v>14.088736181655213</v>
          </cell>
          <cell r="H294">
            <v>10.707483668237822</v>
          </cell>
        </row>
        <row r="296">
          <cell r="B296" t="str">
            <v>ASSET COVERAGE RATIO</v>
          </cell>
          <cell r="C296">
            <v>2.0206708808194533</v>
          </cell>
          <cell r="D296">
            <v>2.4331358043330567</v>
          </cell>
          <cell r="E296">
            <v>1.7882129179839106</v>
          </cell>
          <cell r="F296">
            <v>1.5300820325179265</v>
          </cell>
          <cell r="G296">
            <v>1.6906243027355079</v>
          </cell>
          <cell r="H296">
            <v>1.5973018476819694</v>
          </cell>
        </row>
        <row r="298">
          <cell r="B298" t="str">
            <v>INT./PBIT (%)</v>
          </cell>
          <cell r="C298">
            <v>0.39576423541665823</v>
          </cell>
          <cell r="D298">
            <v>0.46045368084550764</v>
          </cell>
          <cell r="E298">
            <v>0.55386366502507645</v>
          </cell>
          <cell r="F298">
            <v>0.3896793563107962</v>
          </cell>
          <cell r="G298">
            <v>0.31938471509173461</v>
          </cell>
          <cell r="H298">
            <v>0.22053310592884026</v>
          </cell>
        </row>
        <row r="299">
          <cell r="B299" t="str">
            <v>=</v>
          </cell>
          <cell r="C299" t="str">
            <v>=</v>
          </cell>
          <cell r="D299" t="str">
            <v>=</v>
          </cell>
          <cell r="E299" t="str">
            <v>=</v>
          </cell>
          <cell r="F299" t="str">
            <v>=</v>
          </cell>
          <cell r="G299" t="str">
            <v>=</v>
          </cell>
          <cell r="H299" t="str">
            <v>=</v>
          </cell>
        </row>
        <row r="330">
          <cell r="B330" t="str">
            <v>-</v>
          </cell>
          <cell r="C330" t="str">
            <v>-</v>
          </cell>
          <cell r="D330" t="str">
            <v>-</v>
          </cell>
          <cell r="E330" t="str">
            <v>-</v>
          </cell>
          <cell r="F330" t="str">
            <v>-</v>
          </cell>
          <cell r="G330" t="str">
            <v>-</v>
          </cell>
          <cell r="H330" t="str">
            <v>-</v>
          </cell>
        </row>
        <row r="331">
          <cell r="B331" t="str">
            <v>PARTICULARS</v>
          </cell>
          <cell r="C331" t="str">
            <v>1997-98</v>
          </cell>
          <cell r="D331" t="str">
            <v>1998-99</v>
          </cell>
          <cell r="E331" t="str">
            <v>1999-00</v>
          </cell>
          <cell r="F331" t="str">
            <v>2000-01</v>
          </cell>
          <cell r="G331" t="str">
            <v>2001-02</v>
          </cell>
          <cell r="H331" t="str">
            <v>2002-03</v>
          </cell>
        </row>
        <row r="332">
          <cell r="B332" t="str">
            <v>-</v>
          </cell>
          <cell r="C332" t="str">
            <v>-</v>
          </cell>
          <cell r="D332" t="str">
            <v>-</v>
          </cell>
          <cell r="E332" t="str">
            <v>-</v>
          </cell>
          <cell r="F332" t="str">
            <v>-</v>
          </cell>
          <cell r="G332" t="str">
            <v>-</v>
          </cell>
          <cell r="H332" t="str">
            <v>-</v>
          </cell>
        </row>
        <row r="333">
          <cell r="B333" t="str">
            <v>GROSS REVENUE</v>
          </cell>
          <cell r="C333">
            <v>2859.134</v>
          </cell>
          <cell r="D333">
            <v>3007.28</v>
          </cell>
          <cell r="E333">
            <v>4553.5459999999994</v>
          </cell>
          <cell r="F333">
            <v>5999.5689999999995</v>
          </cell>
          <cell r="G333">
            <v>6096.2891999999993</v>
          </cell>
          <cell r="H333">
            <v>7364.3310000000001</v>
          </cell>
        </row>
        <row r="335">
          <cell r="B335" t="str">
            <v>GROWTH IN QUANTITY</v>
          </cell>
        </row>
        <row r="336">
          <cell r="B336" t="str">
            <v>GROWTH   IN  %</v>
          </cell>
          <cell r="C336" t="e">
            <v>#REF!</v>
          </cell>
          <cell r="D336">
            <v>5.1814990133376114E-2</v>
          </cell>
          <cell r="E336">
            <v>0.51417427043707242</v>
          </cell>
          <cell r="F336">
            <v>0.31755976551022003</v>
          </cell>
          <cell r="G336">
            <v>1.6121191372246865E-2</v>
          </cell>
          <cell r="H336">
            <v>0.20800223847648189</v>
          </cell>
        </row>
        <row r="338">
          <cell r="B338" t="str">
            <v>PROFIT BEFORE TAX</v>
          </cell>
          <cell r="C338">
            <v>166.72185000000036</v>
          </cell>
          <cell r="D338">
            <v>139.34701999999925</v>
          </cell>
          <cell r="E338">
            <v>137.96900000000005</v>
          </cell>
          <cell r="F338">
            <v>254.10699999999997</v>
          </cell>
          <cell r="G338">
            <v>227.67820000000029</v>
          </cell>
          <cell r="H338">
            <v>369.27400000000034</v>
          </cell>
        </row>
        <row r="340">
          <cell r="B340" t="str">
            <v>GROWTH   IN  %</v>
          </cell>
          <cell r="D340">
            <v>-0.16419461516292588</v>
          </cell>
          <cell r="E340">
            <v>-9.889124288407488E-3</v>
          </cell>
          <cell r="F340">
            <v>0.84176880313693569</v>
          </cell>
          <cell r="G340">
            <v>-0.10400657990531424</v>
          </cell>
          <cell r="H340">
            <v>0.62191197927601272</v>
          </cell>
        </row>
        <row r="342">
          <cell r="B342" t="str">
            <v>PROFIT AFTER TAX</v>
          </cell>
          <cell r="C342">
            <v>166.72185000000036</v>
          </cell>
          <cell r="D342">
            <v>139.34701999999925</v>
          </cell>
          <cell r="E342">
            <v>137.46600000000007</v>
          </cell>
          <cell r="F342">
            <v>7.0769999999999698</v>
          </cell>
          <cell r="G342">
            <v>210.42820000000029</v>
          </cell>
          <cell r="H342">
            <v>340.27400000000034</v>
          </cell>
        </row>
        <row r="344">
          <cell r="B344" t="str">
            <v>DIVIDEND (%)</v>
          </cell>
          <cell r="C344">
            <v>0.14617924623081921</v>
          </cell>
          <cell r="D344">
            <v>0.13650183343445801</v>
          </cell>
          <cell r="E344">
            <v>5.1295629457035939E-2</v>
          </cell>
          <cell r="F344">
            <v>0</v>
          </cell>
          <cell r="G344">
            <v>1.2938197356967636E-2</v>
          </cell>
          <cell r="H344">
            <v>0</v>
          </cell>
        </row>
        <row r="346">
          <cell r="B346" t="str">
            <v>SHARE CAPITAL</v>
          </cell>
          <cell r="C346">
            <v>298.60599999999999</v>
          </cell>
          <cell r="D346">
            <v>303.25600000000003</v>
          </cell>
          <cell r="E346">
            <v>283.26</v>
          </cell>
          <cell r="F346">
            <v>268.536</v>
          </cell>
          <cell r="G346">
            <v>252.73999999999998</v>
          </cell>
          <cell r="H346">
            <v>279.74</v>
          </cell>
        </row>
        <row r="348">
          <cell r="B348" t="str">
            <v>RESERVES</v>
          </cell>
          <cell r="C348">
            <v>240.446</v>
          </cell>
          <cell r="D348">
            <v>445.875</v>
          </cell>
          <cell r="E348">
            <v>532.72</v>
          </cell>
          <cell r="F348">
            <v>447.12</v>
          </cell>
          <cell r="G348">
            <v>591.08699999999999</v>
          </cell>
          <cell r="H348">
            <v>1314.356</v>
          </cell>
        </row>
        <row r="350">
          <cell r="B350" t="str">
            <v>BORROWINGS</v>
          </cell>
          <cell r="C350">
            <v>697.56999999999994</v>
          </cell>
          <cell r="D350">
            <v>822.31799999999998</v>
          </cell>
          <cell r="E350">
            <v>1200.72</v>
          </cell>
          <cell r="F350">
            <v>840.28</v>
          </cell>
          <cell r="G350">
            <v>778.40700000000004</v>
          </cell>
          <cell r="H350">
            <v>1217.059</v>
          </cell>
        </row>
        <row r="352">
          <cell r="B352" t="str">
            <v>CAPITAL EMPLOYED</v>
          </cell>
          <cell r="C352">
            <v>1325.989</v>
          </cell>
          <cell r="D352">
            <v>1951.5390000000002</v>
          </cell>
          <cell r="E352">
            <v>2252.94</v>
          </cell>
          <cell r="F352">
            <v>1595.4609999999998</v>
          </cell>
          <cell r="G352">
            <v>1730.8739999999998</v>
          </cell>
          <cell r="H352">
            <v>2913.1400000000003</v>
          </cell>
        </row>
        <row r="354">
          <cell r="B354" t="str">
            <v>NET WORTH</v>
          </cell>
          <cell r="C354">
            <v>535.05200000000002</v>
          </cell>
          <cell r="D354">
            <v>745.69100000000003</v>
          </cell>
          <cell r="E354">
            <v>813.10400000000004</v>
          </cell>
          <cell r="F354">
            <v>713.33999999999992</v>
          </cell>
          <cell r="G354">
            <v>842.072</v>
          </cell>
          <cell r="H354">
            <v>1592.3409999999999</v>
          </cell>
        </row>
        <row r="356">
          <cell r="B356" t="str">
            <v>GROSS BLOCK</v>
          </cell>
          <cell r="C356">
            <v>1006.83</v>
          </cell>
          <cell r="D356">
            <v>1474.41</v>
          </cell>
          <cell r="E356">
            <v>1648.41</v>
          </cell>
          <cell r="F356">
            <v>1687.9490000000001</v>
          </cell>
          <cell r="G356">
            <v>2004.2759999999998</v>
          </cell>
          <cell r="H356">
            <v>2627.8779999999997</v>
          </cell>
        </row>
        <row r="358">
          <cell r="B358" t="str">
            <v>NET BLOCK</v>
          </cell>
          <cell r="C358">
            <v>875.88000000000011</v>
          </cell>
          <cell r="D358">
            <v>1289.27</v>
          </cell>
          <cell r="E358">
            <v>1391.48</v>
          </cell>
          <cell r="F358">
            <v>1037.0590000000002</v>
          </cell>
          <cell r="G358">
            <v>1136.5559999999998</v>
          </cell>
          <cell r="H358">
            <v>1625.1539999999998</v>
          </cell>
        </row>
        <row r="359">
          <cell r="B359">
            <v>0</v>
          </cell>
        </row>
        <row r="360">
          <cell r="B360" t="str">
            <v>DEBT-EQUITY RATIO</v>
          </cell>
          <cell r="C360">
            <v>0.81012686617375484</v>
          </cell>
          <cell r="D360">
            <v>0.71058655663002523</v>
          </cell>
          <cell r="E360">
            <v>0.95699935063657282</v>
          </cell>
          <cell r="F360">
            <v>0.95014999859814397</v>
          </cell>
          <cell r="G360">
            <v>0.79835215991031638</v>
          </cell>
          <cell r="H360">
            <v>0.64047336594360127</v>
          </cell>
        </row>
        <row r="362">
          <cell r="B362" t="str">
            <v>NUMBER OF SHARES</v>
          </cell>
          <cell r="C362">
            <v>2617760</v>
          </cell>
          <cell r="D362">
            <v>2617760</v>
          </cell>
          <cell r="E362">
            <v>2617799.9999999995</v>
          </cell>
          <cell r="F362">
            <v>2495560</v>
          </cell>
          <cell r="G362">
            <v>2459839.9999999995</v>
          </cell>
          <cell r="H362">
            <v>2459840</v>
          </cell>
        </row>
        <row r="364">
          <cell r="B364" t="str">
            <v>BOOK VALUE PER SHARE AT YEAR END</v>
          </cell>
          <cell r="C364">
            <v>20.439306888332009</v>
          </cell>
          <cell r="D364">
            <v>28.485842858016017</v>
          </cell>
          <cell r="E364">
            <v>31.060585224234096</v>
          </cell>
          <cell r="F364">
            <v>28.584365833720682</v>
          </cell>
          <cell r="G364">
            <v>34.232795628984</v>
          </cell>
          <cell r="H364">
            <v>64.733519253284754</v>
          </cell>
        </row>
        <row r="366">
          <cell r="B366" t="str">
            <v>EARNINGS PER SHARE</v>
          </cell>
          <cell r="C366">
            <v>6.3688745339527069</v>
          </cell>
          <cell r="D366">
            <v>5.3231396308293828</v>
          </cell>
          <cell r="E366">
            <v>5.2512033004813237</v>
          </cell>
          <cell r="F366">
            <v>0.28358364455272439</v>
          </cell>
          <cell r="G366">
            <v>8.554548263301692</v>
          </cell>
          <cell r="H366">
            <v>13.833176141537674</v>
          </cell>
        </row>
        <row r="368">
          <cell r="B368" t="str">
            <v>NET SALES PER SHARE</v>
          </cell>
          <cell r="C368">
            <v>108.86009412627591</v>
          </cell>
          <cell r="D368">
            <v>0</v>
          </cell>
          <cell r="E368">
            <v>113.65306746122701</v>
          </cell>
          <cell r="F368">
            <v>0</v>
          </cell>
          <cell r="G368">
            <v>182.83018407701317</v>
          </cell>
          <cell r="H368">
            <v>0</v>
          </cell>
        </row>
        <row r="370">
          <cell r="B370" t="str">
            <v>DIVIDEND PER SHARE</v>
          </cell>
          <cell r="C370">
            <v>1.6674561457123649</v>
          </cell>
          <cell r="D370">
            <v>5.2144517998005168E-3</v>
          </cell>
          <cell r="E370">
            <v>1.5812896325158534</v>
          </cell>
          <cell r="F370">
            <v>2.0554757031301966E-3</v>
          </cell>
          <cell r="G370">
            <v>0.59068882528944988</v>
          </cell>
          <cell r="H370">
            <v>0</v>
          </cell>
        </row>
        <row r="372">
          <cell r="B372" t="str">
            <v>PAY-OUT RATIO</v>
          </cell>
          <cell r="C372">
            <v>0.26181331361186255</v>
          </cell>
          <cell r="D372">
            <v>0.29706412092630491</v>
          </cell>
          <cell r="E372">
            <v>0.10569886371902865</v>
          </cell>
          <cell r="F372">
            <v>0</v>
          </cell>
          <cell r="G372">
            <v>1.5539742296897448E-2</v>
          </cell>
          <cell r="H372">
            <v>0</v>
          </cell>
        </row>
        <row r="374">
          <cell r="B374" t="str">
            <v>CURRENT RATIO</v>
          </cell>
          <cell r="C374">
            <v>1.4091554260469052</v>
          </cell>
          <cell r="D374">
            <v>1.5945967646711539</v>
          </cell>
          <cell r="E374">
            <v>1.6878864054502067</v>
          </cell>
          <cell r="F374">
            <v>2.2985801602065221</v>
          </cell>
          <cell r="G374">
            <v>2.611065033546113</v>
          </cell>
          <cell r="H374">
            <v>3.0768747970323003</v>
          </cell>
        </row>
        <row r="376">
          <cell r="B376" t="str">
            <v>LIQUID RATIO</v>
          </cell>
          <cell r="C376">
            <v>1.0806003352602969</v>
          </cell>
          <cell r="D376">
            <v>1.28975085606329</v>
          </cell>
          <cell r="E376">
            <v>1.4041550540102374</v>
          </cell>
          <cell r="F376">
            <v>1.432781595231768</v>
          </cell>
          <cell r="G376">
            <v>1.5919333817147765</v>
          </cell>
          <cell r="H376">
            <v>1.810209587569634</v>
          </cell>
        </row>
        <row r="377">
          <cell r="B377" t="str">
            <v>EVA (ECONOMIC VALUE ADDITION)</v>
          </cell>
          <cell r="C377" t="e">
            <v>#REF!</v>
          </cell>
          <cell r="D377" t="e">
            <v>#REF!</v>
          </cell>
          <cell r="E377" t="e">
            <v>#REF!</v>
          </cell>
          <cell r="F377" t="e">
            <v>#REF!</v>
          </cell>
          <cell r="G377" t="e">
            <v>#REF!</v>
          </cell>
          <cell r="H377" t="e">
            <v>#REF!</v>
          </cell>
        </row>
        <row r="379">
          <cell r="B379" t="str">
            <v>EVA (% OF CAPITAL EMPLOYED)</v>
          </cell>
          <cell r="C379" t="e">
            <v>#REF!</v>
          </cell>
          <cell r="D379" t="e">
            <v>#REF!</v>
          </cell>
          <cell r="E379" t="e">
            <v>#REF!</v>
          </cell>
          <cell r="F379" t="e">
            <v>#REF!</v>
          </cell>
          <cell r="G379" t="e">
            <v>#REF!</v>
          </cell>
          <cell r="H379" t="e">
            <v>#REF!</v>
          </cell>
        </row>
        <row r="381">
          <cell r="B381" t="str">
            <v>RETURN ON NET WORTH</v>
          </cell>
          <cell r="C381">
            <v>0.31159933987724625</v>
          </cell>
          <cell r="D381">
            <v>0.18686965512524523</v>
          </cell>
          <cell r="E381">
            <v>0.16906324406226025</v>
          </cell>
          <cell r="F381">
            <v>9.9209353183614696E-3</v>
          </cell>
          <cell r="G381">
            <v>0.24989335828765272</v>
          </cell>
          <cell r="H381">
            <v>0.21369417731503515</v>
          </cell>
        </row>
        <row r="383">
          <cell r="B383" t="str">
            <v>FIXED ASSETS  PER SHARE</v>
          </cell>
          <cell r="C383">
            <v>33.459140639325227</v>
          </cell>
          <cell r="D383">
            <v>49.250886253896461</v>
          </cell>
          <cell r="E383">
            <v>53.154557261822916</v>
          </cell>
          <cell r="F383">
            <v>41.556163746814349</v>
          </cell>
          <cell r="G383">
            <v>46.204468583322495</v>
          </cell>
          <cell r="H383">
            <v>66.067467802783909</v>
          </cell>
        </row>
        <row r="386">
          <cell r="B386" t="str">
            <v>=</v>
          </cell>
          <cell r="C386" t="str">
            <v>=</v>
          </cell>
          <cell r="D386" t="str">
            <v>=</v>
          </cell>
          <cell r="E386" t="str">
            <v>=</v>
          </cell>
          <cell r="F386" t="str">
            <v>=</v>
          </cell>
          <cell r="G386" t="str">
            <v>=</v>
          </cell>
          <cell r="H386" t="str">
            <v>=</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590"/>
      <sheetName val="DEP. CO.ACT 590"/>
      <sheetName val="current ac 590"/>
      <sheetName val="JOB WORK"/>
    </sheetNames>
    <sheetDataSet>
      <sheetData sheetId="0" refreshError="1">
        <row r="3">
          <cell r="B3" t="str">
            <v xml:space="preserve">M/S HOTEL ROYAL </v>
          </cell>
        </row>
        <row r="5">
          <cell r="B5" t="str">
            <v xml:space="preserve"> BALANCE SHEET AS ON 30TH SEPTEMBER, 2000</v>
          </cell>
        </row>
        <row r="7">
          <cell r="G7" t="str">
            <v xml:space="preserve">CURRENT </v>
          </cell>
          <cell r="H7" t="str">
            <v>PREVIOUS</v>
          </cell>
        </row>
        <row r="8">
          <cell r="C8" t="str">
            <v>PARTICULARS</v>
          </cell>
          <cell r="F8" t="str">
            <v>SCH</v>
          </cell>
          <cell r="G8" t="str">
            <v>PERIOD</v>
          </cell>
          <cell r="H8" t="str">
            <v>YEAR</v>
          </cell>
        </row>
        <row r="9">
          <cell r="G9" t="str">
            <v>Rupees</v>
          </cell>
          <cell r="H9" t="str">
            <v>Rupees</v>
          </cell>
        </row>
        <row r="11">
          <cell r="B11" t="str">
            <v>I.</v>
          </cell>
          <cell r="C11" t="str">
            <v>SOURCES  OF FUNDS</v>
          </cell>
        </row>
        <row r="13">
          <cell r="C13" t="str">
            <v>Partners Capital</v>
          </cell>
          <cell r="F13" t="str">
            <v>A</v>
          </cell>
          <cell r="G13">
            <v>1000000</v>
          </cell>
          <cell r="H13">
            <v>1000000</v>
          </cell>
        </row>
        <row r="14">
          <cell r="C14" t="str">
            <v>Partners Current Account</v>
          </cell>
          <cell r="F14" t="str">
            <v>B</v>
          </cell>
          <cell r="G14">
            <v>8754452.4597460609</v>
          </cell>
          <cell r="H14">
            <v>8226798.5200000005</v>
          </cell>
        </row>
        <row r="16">
          <cell r="C16" t="str">
            <v>LOAN FUNDS</v>
          </cell>
        </row>
        <row r="17">
          <cell r="C17" t="str">
            <v>Secured Loans</v>
          </cell>
          <cell r="F17" t="str">
            <v>C</v>
          </cell>
          <cell r="G17">
            <v>697051.58000000007</v>
          </cell>
          <cell r="H17">
            <v>302260.44</v>
          </cell>
        </row>
        <row r="18">
          <cell r="C18" t="str">
            <v>Unsecured Loans</v>
          </cell>
          <cell r="F18" t="str">
            <v>D</v>
          </cell>
          <cell r="G18">
            <v>2083568</v>
          </cell>
          <cell r="H18">
            <v>697396.4</v>
          </cell>
        </row>
        <row r="20">
          <cell r="G20">
            <v>12535072.039746061</v>
          </cell>
          <cell r="H20">
            <v>10226455.359999999</v>
          </cell>
        </row>
        <row r="22">
          <cell r="B22" t="str">
            <v>II.</v>
          </cell>
          <cell r="C22" t="str">
            <v>APPLICATION OF FUNDS</v>
          </cell>
        </row>
        <row r="23">
          <cell r="C23" t="str">
            <v>FIXED ASSETS</v>
          </cell>
          <cell r="F23" t="str">
            <v>E</v>
          </cell>
        </row>
        <row r="25">
          <cell r="C25" t="str">
            <v>Gross Block</v>
          </cell>
          <cell r="G25">
            <v>5196699.32</v>
          </cell>
          <cell r="H25">
            <v>4835159.32</v>
          </cell>
        </row>
        <row r="26">
          <cell r="C26" t="str">
            <v>Less: Depreciation</v>
          </cell>
          <cell r="G26">
            <v>172357.19210684934</v>
          </cell>
          <cell r="H26">
            <v>348543</v>
          </cell>
        </row>
        <row r="27">
          <cell r="C27" t="str">
            <v>Net Block</v>
          </cell>
          <cell r="G27">
            <v>5024342.1278931508</v>
          </cell>
          <cell r="H27">
            <v>4486616.32</v>
          </cell>
        </row>
        <row r="29">
          <cell r="C29" t="str">
            <v>Capital Work in Progress</v>
          </cell>
          <cell r="G29">
            <v>4413049</v>
          </cell>
          <cell r="H29">
            <v>2350796</v>
          </cell>
        </row>
        <row r="31">
          <cell r="C31" t="str">
            <v>CURRENT ASSETS, LOANS &amp;  ADVANCES</v>
          </cell>
        </row>
        <row r="33">
          <cell r="C33" t="str">
            <v>A.CURRENT ASSETS</v>
          </cell>
        </row>
        <row r="34">
          <cell r="C34" t="str">
            <v>Sundry Debtors</v>
          </cell>
          <cell r="D34" t="str">
            <v>`</v>
          </cell>
          <cell r="F34" t="str">
            <v>F</v>
          </cell>
          <cell r="G34">
            <v>1452613.64</v>
          </cell>
          <cell r="H34">
            <v>1183026.58</v>
          </cell>
        </row>
        <row r="35">
          <cell r="C35" t="str">
            <v>Cash &amp; Bank Balances</v>
          </cell>
          <cell r="F35" t="str">
            <v>G</v>
          </cell>
          <cell r="G35">
            <v>40240.699999999997</v>
          </cell>
          <cell r="H35">
            <v>138366.25</v>
          </cell>
        </row>
        <row r="37">
          <cell r="C37" t="str">
            <v xml:space="preserve">B. LOANS AND ADVANCES </v>
          </cell>
        </row>
        <row r="38">
          <cell r="C38" t="str">
            <v>Loans &amp; Advances</v>
          </cell>
          <cell r="F38" t="str">
            <v>H</v>
          </cell>
          <cell r="G38">
            <v>2326597.42</v>
          </cell>
          <cell r="H38">
            <v>2295462.06</v>
          </cell>
        </row>
        <row r="40">
          <cell r="G40">
            <v>3819451.76</v>
          </cell>
          <cell r="H40">
            <v>3616854.89</v>
          </cell>
        </row>
        <row r="41">
          <cell r="C41" t="str">
            <v>LESS:  CURRENT LIABILITIES</v>
          </cell>
        </row>
        <row r="42">
          <cell r="C42" t="str">
            <v>&amp; PROVISIONS</v>
          </cell>
        </row>
        <row r="43">
          <cell r="C43" t="str">
            <v>Current Liabilities</v>
          </cell>
          <cell r="F43" t="str">
            <v>I</v>
          </cell>
          <cell r="G43">
            <v>267337.84999999998</v>
          </cell>
          <cell r="H43">
            <v>192311.85</v>
          </cell>
        </row>
        <row r="44">
          <cell r="C44" t="str">
            <v>Provisions</v>
          </cell>
          <cell r="F44" t="str">
            <v>J</v>
          </cell>
          <cell r="G44">
            <v>474433</v>
          </cell>
          <cell r="H44">
            <v>55500</v>
          </cell>
        </row>
        <row r="45">
          <cell r="G45">
            <v>741770.85</v>
          </cell>
          <cell r="H45">
            <v>247811.85</v>
          </cell>
        </row>
        <row r="46">
          <cell r="C46" t="str">
            <v>NET CURRENT ASSETS</v>
          </cell>
          <cell r="G46">
            <v>3077680.9099999997</v>
          </cell>
          <cell r="H46">
            <v>3369043.04</v>
          </cell>
        </row>
        <row r="48">
          <cell r="C48" t="str">
            <v>MISCELLANEOUS EXPENDITURE</v>
          </cell>
        </row>
        <row r="49">
          <cell r="C49" t="str">
            <v>(to the extent not written off or adjusted)</v>
          </cell>
          <cell r="G49">
            <v>20000</v>
          </cell>
          <cell r="H49">
            <v>20000</v>
          </cell>
        </row>
        <row r="51">
          <cell r="G51">
            <v>12535072.03789315</v>
          </cell>
          <cell r="H51">
            <v>10226455.359999999</v>
          </cell>
        </row>
        <row r="53">
          <cell r="G53">
            <v>-1.852910965681076E-3</v>
          </cell>
          <cell r="H53">
            <v>0</v>
          </cell>
        </row>
        <row r="55">
          <cell r="B55" t="str">
            <v>AS PER OUR REPORT OF EVEN DATE</v>
          </cell>
          <cell r="F55" t="str">
            <v xml:space="preserve">                             FOR M/S HOTEL ROYAL</v>
          </cell>
        </row>
        <row r="56">
          <cell r="B56" t="str">
            <v>FOR AJMERA &amp; ASSOCIATES</v>
          </cell>
        </row>
        <row r="57">
          <cell r="B57" t="str">
            <v>CHARTERED ACCOUNTANTS</v>
          </cell>
        </row>
        <row r="60">
          <cell r="B60" t="str">
            <v>PARTNER</v>
          </cell>
          <cell r="D60">
            <v>0</v>
          </cell>
          <cell r="E60">
            <v>0</v>
          </cell>
          <cell r="F60" t="str">
            <v>DIRECTOR</v>
          </cell>
          <cell r="G60" t="str">
            <v xml:space="preserve">          DIRECTOR</v>
          </cell>
        </row>
        <row r="61">
          <cell r="C61">
            <v>0</v>
          </cell>
        </row>
        <row r="62">
          <cell r="C62">
            <v>0</v>
          </cell>
        </row>
        <row r="63">
          <cell r="B63" t="str">
            <v>PLACE : MUMBAI</v>
          </cell>
        </row>
        <row r="64">
          <cell r="B64" t="str">
            <v>DATE   :    /12/2001</v>
          </cell>
        </row>
        <row r="70">
          <cell r="B70" t="str">
            <v xml:space="preserve">M/S HOTEL ROYAL </v>
          </cell>
        </row>
        <row r="72">
          <cell r="B72" t="str">
            <v xml:space="preserve"> PROFIT AND LOSS ACCOUNT FOR THE YEAR ENDED  30TH SEPTEMBER, 2000</v>
          </cell>
        </row>
        <row r="74">
          <cell r="G74" t="str">
            <v xml:space="preserve">CURRENT </v>
          </cell>
          <cell r="H74" t="str">
            <v>PREVIOUS</v>
          </cell>
        </row>
        <row r="75">
          <cell r="C75" t="str">
            <v>PARTICULARS</v>
          </cell>
          <cell r="F75" t="str">
            <v>SCH</v>
          </cell>
          <cell r="G75" t="str">
            <v>PERIOD</v>
          </cell>
          <cell r="H75" t="str">
            <v>YEAR</v>
          </cell>
        </row>
        <row r="76">
          <cell r="G76" t="str">
            <v>Rupees</v>
          </cell>
          <cell r="H76" t="str">
            <v>Rupees</v>
          </cell>
        </row>
        <row r="77">
          <cell r="B77" t="str">
            <v>I</v>
          </cell>
          <cell r="C77" t="str">
            <v>INCOME</v>
          </cell>
        </row>
        <row r="79">
          <cell r="C79" t="str">
            <v>Income from Operations</v>
          </cell>
          <cell r="G79">
            <v>2820865</v>
          </cell>
          <cell r="H79">
            <v>5322840.5</v>
          </cell>
        </row>
        <row r="80">
          <cell r="C80" t="str">
            <v>Other Income</v>
          </cell>
          <cell r="G80">
            <v>244670.5</v>
          </cell>
          <cell r="H80">
            <v>799811.3</v>
          </cell>
        </row>
        <row r="81">
          <cell r="E81" t="str">
            <v xml:space="preserve">TOTAL </v>
          </cell>
          <cell r="G81">
            <v>3065535.5</v>
          </cell>
          <cell r="H81">
            <v>6122651.7999999998</v>
          </cell>
        </row>
        <row r="83">
          <cell r="B83" t="str">
            <v>II</v>
          </cell>
          <cell r="C83" t="str">
            <v>EXPENDITURE</v>
          </cell>
        </row>
        <row r="85">
          <cell r="C85" t="str">
            <v>Payments to &amp; Provision for Employees</v>
          </cell>
          <cell r="F85" t="str">
            <v>K</v>
          </cell>
          <cell r="G85">
            <v>367058.4</v>
          </cell>
          <cell r="H85">
            <v>965216.54999999993</v>
          </cell>
        </row>
        <row r="86">
          <cell r="C86" t="str">
            <v>Administrative &amp; Other Expenses</v>
          </cell>
          <cell r="F86" t="str">
            <v>L</v>
          </cell>
          <cell r="G86">
            <v>1690735.39</v>
          </cell>
          <cell r="H86">
            <v>2746245.9499999997</v>
          </cell>
        </row>
        <row r="87">
          <cell r="C87" t="str">
            <v>Selling &amp; Distribution Expenses</v>
          </cell>
          <cell r="F87" t="str">
            <v>M</v>
          </cell>
          <cell r="G87">
            <v>107351.8</v>
          </cell>
          <cell r="H87">
            <v>75328</v>
          </cell>
        </row>
        <row r="88">
          <cell r="C88" t="str">
            <v>Financial Expenses</v>
          </cell>
          <cell r="F88" t="str">
            <v>N</v>
          </cell>
          <cell r="G88">
            <v>75061.279999999984</v>
          </cell>
          <cell r="H88">
            <v>199916.39</v>
          </cell>
        </row>
        <row r="89">
          <cell r="C89" t="str">
            <v>Depreciation</v>
          </cell>
          <cell r="F89" t="str">
            <v>E</v>
          </cell>
          <cell r="G89">
            <v>172357.19210684934</v>
          </cell>
          <cell r="H89">
            <v>348543</v>
          </cell>
        </row>
        <row r="91">
          <cell r="E91" t="str">
            <v xml:space="preserve">TOTAL </v>
          </cell>
          <cell r="G91">
            <v>2412564.0621068492</v>
          </cell>
          <cell r="H91">
            <v>4335249.8899999997</v>
          </cell>
        </row>
        <row r="93">
          <cell r="B93">
            <v>0</v>
          </cell>
          <cell r="C93" t="str">
            <v>PROFIT BEFORE INTEREST AND REMUNERATION</v>
          </cell>
          <cell r="G93">
            <v>652971.43789315084</v>
          </cell>
          <cell r="H93">
            <v>1787401.9100000001</v>
          </cell>
        </row>
        <row r="94">
          <cell r="C94" t="str">
            <v>Interest on Capital &amp; Current Account</v>
          </cell>
          <cell r="G94">
            <v>593430.77</v>
          </cell>
          <cell r="H94">
            <v>976718</v>
          </cell>
        </row>
        <row r="95">
          <cell r="C95" t="str">
            <v>Remuneration to Partners</v>
          </cell>
          <cell r="G95">
            <v>50000</v>
          </cell>
          <cell r="H95">
            <v>376772</v>
          </cell>
        </row>
        <row r="97">
          <cell r="B97" t="str">
            <v>IV</v>
          </cell>
          <cell r="C97" t="str">
            <v>PROFIT AFTER TAX</v>
          </cell>
          <cell r="G97">
            <v>9540.6678931508213</v>
          </cell>
          <cell r="H97">
            <v>433911.91000000015</v>
          </cell>
        </row>
        <row r="99">
          <cell r="C99" t="str">
            <v>Add: Balance Brought Forward</v>
          </cell>
          <cell r="G99">
            <v>0</v>
          </cell>
          <cell r="H99">
            <v>0</v>
          </cell>
        </row>
        <row r="101">
          <cell r="C101" t="str">
            <v>Balance carried to Balance sheet</v>
          </cell>
          <cell r="G101">
            <v>9540.6678931508213</v>
          </cell>
          <cell r="H101">
            <v>433911.91000000015</v>
          </cell>
        </row>
        <row r="103">
          <cell r="C103" t="str">
            <v>NOTES FORMING PART OF ACCOUNTS</v>
          </cell>
          <cell r="F103" t="str">
            <v>O</v>
          </cell>
        </row>
        <row r="106">
          <cell r="B106" t="str">
            <v>AS PER OUR REPORT OF EVEN DATE</v>
          </cell>
          <cell r="F106" t="str">
            <v xml:space="preserve">                             FOR M/S HOTEL ROYAL</v>
          </cell>
        </row>
        <row r="107">
          <cell r="B107" t="str">
            <v>FOR AJMERA &amp; ASSOCIATES</v>
          </cell>
        </row>
        <row r="108">
          <cell r="B108" t="str">
            <v>CHARTERED ACCOUNTANTS</v>
          </cell>
        </row>
        <row r="111">
          <cell r="C111">
            <v>0</v>
          </cell>
          <cell r="F111" t="str">
            <v>DIRECTOR</v>
          </cell>
          <cell r="G111" t="str">
            <v>DIRECTOR</v>
          </cell>
        </row>
        <row r="112">
          <cell r="B112" t="str">
            <v>PARTNER</v>
          </cell>
        </row>
        <row r="113">
          <cell r="C113">
            <v>0</v>
          </cell>
        </row>
        <row r="114">
          <cell r="B114" t="str">
            <v>PLACE : MUMBAI</v>
          </cell>
        </row>
        <row r="115">
          <cell r="B115" t="str">
            <v>DATE   :   /12/2001</v>
          </cell>
        </row>
        <row r="126">
          <cell r="B126" t="str">
            <v xml:space="preserve">M/S HOTEL ROYAL </v>
          </cell>
        </row>
        <row r="128">
          <cell r="B128" t="str">
            <v>SCHEDULES ANNEXED TO AND FORMING PART OF THE BALANCE SHEET AS ON</v>
          </cell>
        </row>
        <row r="129">
          <cell r="B129" t="str">
            <v>30TH SEPTEMBER.,2000 AND PROFIT AND LOSS ACCOUNT FOR THE PERIOD ENDED ON</v>
          </cell>
        </row>
        <row r="130">
          <cell r="B130" t="str">
            <v>THAT DATE.</v>
          </cell>
        </row>
        <row r="132">
          <cell r="G132" t="str">
            <v xml:space="preserve">CURRENT </v>
          </cell>
          <cell r="H132" t="str">
            <v>PREVIOUS</v>
          </cell>
        </row>
        <row r="133">
          <cell r="G133" t="str">
            <v>PERIOD</v>
          </cell>
          <cell r="H133" t="str">
            <v>YEAR</v>
          </cell>
        </row>
        <row r="134">
          <cell r="C134" t="str">
            <v>PARTICULARS</v>
          </cell>
        </row>
        <row r="135">
          <cell r="G135" t="str">
            <v>Rupees</v>
          </cell>
          <cell r="H135" t="str">
            <v>Rupees</v>
          </cell>
        </row>
        <row r="137">
          <cell r="B137" t="str">
            <v>SCHEDULE "A"</v>
          </cell>
        </row>
        <row r="138">
          <cell r="B138" t="str">
            <v xml:space="preserve">PARTNERS CAPITAL </v>
          </cell>
          <cell r="G138">
            <v>1000000</v>
          </cell>
          <cell r="H138">
            <v>1000000</v>
          </cell>
        </row>
        <row r="140">
          <cell r="G140">
            <v>1000000</v>
          </cell>
          <cell r="H140">
            <v>1000000</v>
          </cell>
        </row>
        <row r="142">
          <cell r="B142" t="str">
            <v>SCHEDULE "B"</v>
          </cell>
        </row>
        <row r="143">
          <cell r="B143" t="str">
            <v>RESERVES AND SURPLUS</v>
          </cell>
        </row>
        <row r="144">
          <cell r="B144" t="str">
            <v>Surplus as per Profit &amp; Loss A/c</v>
          </cell>
          <cell r="G144">
            <v>9540.6678931508213</v>
          </cell>
          <cell r="H144">
            <v>433911.91000000015</v>
          </cell>
        </row>
        <row r="146">
          <cell r="G146">
            <v>9540.6678931508213</v>
          </cell>
          <cell r="H146">
            <v>433911.91000000015</v>
          </cell>
        </row>
        <row r="148">
          <cell r="B148" t="str">
            <v>SCHEDULE "C"</v>
          </cell>
        </row>
        <row r="149">
          <cell r="B149" t="str">
            <v>SECURED LOANS</v>
          </cell>
        </row>
        <row r="151">
          <cell r="B151" t="str">
            <v>Car Loan</v>
          </cell>
        </row>
        <row r="152">
          <cell r="B152" t="str">
            <v xml:space="preserve"> - From ANZ Grindlays</v>
          </cell>
          <cell r="G152">
            <v>254277</v>
          </cell>
          <cell r="H152">
            <v>302260.44</v>
          </cell>
        </row>
        <row r="153">
          <cell r="B153" t="str">
            <v xml:space="preserve"> - From SCB Bank</v>
          </cell>
          <cell r="G153">
            <v>442774.58</v>
          </cell>
          <cell r="H153">
            <v>0</v>
          </cell>
        </row>
        <row r="155">
          <cell r="G155">
            <v>697051.58000000007</v>
          </cell>
          <cell r="H155">
            <v>302260.44</v>
          </cell>
        </row>
        <row r="157">
          <cell r="B157" t="str">
            <v>SCHEDULE "D"</v>
          </cell>
        </row>
        <row r="159">
          <cell r="B159" t="str">
            <v>UNSECURED LOANS</v>
          </cell>
        </row>
        <row r="160">
          <cell r="B160" t="str">
            <v>From Others</v>
          </cell>
          <cell r="G160">
            <v>604931</v>
          </cell>
          <cell r="H160">
            <v>697396.4</v>
          </cell>
        </row>
        <row r="161">
          <cell r="B161" t="str">
            <v>From Sabal Holdings Pvt. Ltd.</v>
          </cell>
          <cell r="G161">
            <v>725658</v>
          </cell>
          <cell r="H161">
            <v>0</v>
          </cell>
        </row>
        <row r="162">
          <cell r="B162" t="str">
            <v>From Ratish Holdings Pvt. Ltd.</v>
          </cell>
          <cell r="G162">
            <v>752979</v>
          </cell>
          <cell r="H162">
            <v>0</v>
          </cell>
        </row>
        <row r="164">
          <cell r="G164">
            <v>2083568</v>
          </cell>
          <cell r="H164">
            <v>697396.4</v>
          </cell>
        </row>
        <row r="167">
          <cell r="B167" t="str">
            <v xml:space="preserve">HOTEL ROYAL(DIV.OF BALAN HOTELS PVT.LTD. </v>
          </cell>
        </row>
        <row r="169">
          <cell r="B169" t="str">
            <v>SCHEDULES ANNEXED TO AND FORMING PART OF THE BALANCE SHEET AS ON</v>
          </cell>
        </row>
        <row r="170">
          <cell r="B170" t="str">
            <v>30TH SEPTEMBER,,2000 AND PROFIT AND LOSS ACCOUNT FOR THE PERIOD ENDED ON</v>
          </cell>
        </row>
        <row r="171">
          <cell r="B171" t="str">
            <v>THAT DATE.</v>
          </cell>
        </row>
        <row r="173">
          <cell r="G173" t="str">
            <v>CURRENT</v>
          </cell>
          <cell r="H173" t="str">
            <v>PREVIOUS</v>
          </cell>
        </row>
        <row r="174">
          <cell r="C174" t="str">
            <v>PARTICULARS</v>
          </cell>
          <cell r="G174" t="str">
            <v>PERIOD</v>
          </cell>
          <cell r="H174" t="str">
            <v>YEAR</v>
          </cell>
        </row>
        <row r="175">
          <cell r="G175" t="str">
            <v>Rupees</v>
          </cell>
          <cell r="H175" t="str">
            <v>Rupees</v>
          </cell>
        </row>
        <row r="176">
          <cell r="B176" t="str">
            <v>SCHEDULE "F"</v>
          </cell>
        </row>
        <row r="178">
          <cell r="B178" t="str">
            <v>SUNDRY DEBTORS</v>
          </cell>
          <cell r="G178">
            <v>1452613.64</v>
          </cell>
          <cell r="H178">
            <v>1183026.58</v>
          </cell>
        </row>
        <row r="179">
          <cell r="B179" t="str">
            <v>(unsecured, considered good)</v>
          </cell>
        </row>
        <row r="181">
          <cell r="G181">
            <v>1452613.64</v>
          </cell>
          <cell r="H181">
            <v>1183026.58</v>
          </cell>
        </row>
        <row r="183">
          <cell r="B183" t="str">
            <v>SCHEDULE "G"</v>
          </cell>
        </row>
        <row r="185">
          <cell r="B185" t="str">
            <v>CASH &amp; BANK BALANCES</v>
          </cell>
        </row>
        <row r="186">
          <cell r="B186" t="str">
            <v>Cash in hand</v>
          </cell>
          <cell r="G186">
            <v>10010.39</v>
          </cell>
          <cell r="H186">
            <v>12904.04</v>
          </cell>
        </row>
        <row r="187">
          <cell r="B187" t="str">
            <v>Balance with Scheduled Bank in</v>
          </cell>
        </row>
        <row r="188">
          <cell r="B188" t="str">
            <v xml:space="preserve">Current account </v>
          </cell>
          <cell r="D188" t="str">
            <v>Bharat Co-op Bank</v>
          </cell>
          <cell r="G188">
            <v>501</v>
          </cell>
          <cell r="H188">
            <v>501</v>
          </cell>
        </row>
        <row r="189">
          <cell r="D189" t="str">
            <v>Nedungadi Bank</v>
          </cell>
          <cell r="G189">
            <v>4873.76</v>
          </cell>
          <cell r="H189">
            <v>4873.76</v>
          </cell>
        </row>
        <row r="190">
          <cell r="D190" t="str">
            <v>Bank Of Madura</v>
          </cell>
          <cell r="G190">
            <v>24855.55</v>
          </cell>
          <cell r="H190">
            <v>120087.45</v>
          </cell>
        </row>
        <row r="192">
          <cell r="G192">
            <v>40240.699999999997</v>
          </cell>
          <cell r="H192">
            <v>138366.25</v>
          </cell>
        </row>
        <row r="195">
          <cell r="B195" t="str">
            <v xml:space="preserve">HOTEL ROYAL(DIV.OF BALAN HOTELS PVT.LTD. </v>
          </cell>
        </row>
        <row r="197">
          <cell r="B197" t="str">
            <v>SCHEDULES ANNEXED TO AND FORMING PART OF THE BALANCE SHEET AS ON</v>
          </cell>
        </row>
        <row r="198">
          <cell r="B198" t="str">
            <v>30TH SEPTEMBER,2000 AND PROFIT AND LOSS ACCOUNT FOR THE PERIOD ENDED ON</v>
          </cell>
        </row>
        <row r="199">
          <cell r="B199" t="str">
            <v>THAT DATE.</v>
          </cell>
        </row>
        <row r="201">
          <cell r="G201" t="str">
            <v>CURRENT</v>
          </cell>
          <cell r="H201" t="str">
            <v>PREVIOUS</v>
          </cell>
        </row>
        <row r="202">
          <cell r="C202" t="str">
            <v>PARTICULARS</v>
          </cell>
          <cell r="G202" t="str">
            <v>PERIOD</v>
          </cell>
          <cell r="H202" t="str">
            <v>YEAR</v>
          </cell>
        </row>
        <row r="203">
          <cell r="G203" t="str">
            <v>Rupees</v>
          </cell>
          <cell r="H203" t="str">
            <v>Rupees</v>
          </cell>
        </row>
        <row r="204">
          <cell r="B204" t="str">
            <v>SCHEDULE "H"</v>
          </cell>
        </row>
        <row r="206">
          <cell r="B206" t="str">
            <v>LOANS &amp; ADVANCES</v>
          </cell>
        </row>
        <row r="207">
          <cell r="B207" t="str">
            <v>(Unsecured, Considered Good, unless otherwise stated)</v>
          </cell>
        </row>
        <row r="208">
          <cell r="B208" t="str">
            <v>Advance recoverable in cash or in kind</v>
          </cell>
          <cell r="G208">
            <v>2043371.42</v>
          </cell>
          <cell r="H208">
            <v>1812179.42</v>
          </cell>
        </row>
        <row r="209">
          <cell r="B209" t="str">
            <v>Security Deposits</v>
          </cell>
          <cell r="G209">
            <v>68520</v>
          </cell>
          <cell r="H209">
            <v>246732.64</v>
          </cell>
        </row>
        <row r="210">
          <cell r="B210" t="str">
            <v>Prepaid Expenses</v>
          </cell>
          <cell r="G210">
            <v>71297</v>
          </cell>
          <cell r="H210">
            <v>0</v>
          </cell>
        </row>
        <row r="211">
          <cell r="B211" t="str">
            <v>Provision Of Income</v>
          </cell>
          <cell r="G211">
            <v>3333</v>
          </cell>
          <cell r="H211">
            <v>0</v>
          </cell>
        </row>
        <row r="212">
          <cell r="B212" t="str">
            <v>Advance Tax and T D S</v>
          </cell>
          <cell r="G212">
            <v>126576</v>
          </cell>
          <cell r="H212">
            <v>236550</v>
          </cell>
        </row>
        <row r="213">
          <cell r="B213" t="str">
            <v>Staff Loan</v>
          </cell>
          <cell r="G213">
            <v>13500</v>
          </cell>
          <cell r="H213">
            <v>0</v>
          </cell>
        </row>
        <row r="215">
          <cell r="G215">
            <v>2326597.42</v>
          </cell>
          <cell r="H215">
            <v>2295462.06</v>
          </cell>
        </row>
        <row r="217">
          <cell r="B217" t="str">
            <v>SCHEDULE "I"</v>
          </cell>
        </row>
        <row r="219">
          <cell r="B219" t="str">
            <v>CURRENT LIABILITIES</v>
          </cell>
        </row>
        <row r="220">
          <cell r="B220" t="str">
            <v>Creditors for Capital Items</v>
          </cell>
          <cell r="G220">
            <v>147365</v>
          </cell>
          <cell r="H220">
            <v>103079</v>
          </cell>
        </row>
        <row r="221">
          <cell r="B221" t="str">
            <v>Creditors for expenses.</v>
          </cell>
          <cell r="G221">
            <v>119972.85</v>
          </cell>
          <cell r="H221">
            <v>89232.85</v>
          </cell>
        </row>
        <row r="223">
          <cell r="G223">
            <v>267337.84999999998</v>
          </cell>
          <cell r="H223">
            <v>192311.85</v>
          </cell>
        </row>
        <row r="225">
          <cell r="B225" t="str">
            <v>SCHEDULE "J"</v>
          </cell>
        </row>
        <row r="227">
          <cell r="B227" t="str">
            <v>PROVISIONS</v>
          </cell>
        </row>
        <row r="228">
          <cell r="B228" t="str">
            <v>Provision for Expenses</v>
          </cell>
          <cell r="G228">
            <v>474433</v>
          </cell>
          <cell r="H228">
            <v>55500</v>
          </cell>
        </row>
        <row r="230">
          <cell r="G230">
            <v>474433</v>
          </cell>
          <cell r="H230">
            <v>55500</v>
          </cell>
        </row>
        <row r="234">
          <cell r="B234" t="str">
            <v xml:space="preserve">HOTEL ROYAL(DIV.OF BALAN HOTELS PVT.LTD. </v>
          </cell>
        </row>
        <row r="236">
          <cell r="B236" t="str">
            <v>SCHEDULES ANNEXED TO AND FORMING PART OF THE BALANCE SHEET AS ON</v>
          </cell>
        </row>
        <row r="237">
          <cell r="B237" t="str">
            <v>30TH SEPTEMBER,2000 AND PROFIT AND LOSS ACCOUNT FOR THE PERIOD ENDED ON</v>
          </cell>
        </row>
        <row r="238">
          <cell r="B238" t="str">
            <v>THAT DATE.</v>
          </cell>
        </row>
        <row r="240">
          <cell r="G240" t="str">
            <v>CURRENT</v>
          </cell>
          <cell r="H240" t="str">
            <v>PREVIOUS</v>
          </cell>
        </row>
        <row r="241">
          <cell r="C241" t="str">
            <v>PARTICULARS</v>
          </cell>
          <cell r="G241" t="str">
            <v>PERIOD</v>
          </cell>
          <cell r="H241" t="str">
            <v>YEAR</v>
          </cell>
        </row>
        <row r="242">
          <cell r="G242" t="str">
            <v>Rupees</v>
          </cell>
          <cell r="H242" t="str">
            <v>Rupees</v>
          </cell>
        </row>
        <row r="244">
          <cell r="B244" t="str">
            <v>SCHEDULE "K"</v>
          </cell>
        </row>
        <row r="246">
          <cell r="B246" t="str">
            <v>PAYMENTS TO &amp; PROVISIONS FOR EMPLOYEES</v>
          </cell>
        </row>
        <row r="247">
          <cell r="B247" t="str">
            <v>Salary, Wages &amp; Bonus</v>
          </cell>
          <cell r="G247">
            <v>208290</v>
          </cell>
          <cell r="H247">
            <v>558181.6</v>
          </cell>
        </row>
        <row r="248">
          <cell r="B248" t="str">
            <v>Contribution to ESIC Fund</v>
          </cell>
          <cell r="G248">
            <v>9544.4</v>
          </cell>
          <cell r="H248">
            <v>32209.75</v>
          </cell>
        </row>
        <row r="249">
          <cell r="B249" t="str">
            <v>Contribution to P.F</v>
          </cell>
          <cell r="G249">
            <v>33858</v>
          </cell>
          <cell r="H249">
            <v>130786</v>
          </cell>
        </row>
        <row r="250">
          <cell r="B250" t="str">
            <v>Staff Meals</v>
          </cell>
          <cell r="G250">
            <v>79434</v>
          </cell>
          <cell r="H250">
            <v>187399</v>
          </cell>
        </row>
        <row r="251">
          <cell r="B251" t="str">
            <v>Leave Salary &amp; Gratuity</v>
          </cell>
          <cell r="G251">
            <v>22467</v>
          </cell>
          <cell r="H251">
            <v>42870</v>
          </cell>
        </row>
        <row r="252">
          <cell r="B252" t="str">
            <v>Cash Handling expenses</v>
          </cell>
          <cell r="G252">
            <v>10113</v>
          </cell>
          <cell r="H252">
            <v>12000</v>
          </cell>
        </row>
        <row r="253">
          <cell r="B253" t="str">
            <v>Life Insurance of Employees</v>
          </cell>
          <cell r="G253">
            <v>3222</v>
          </cell>
          <cell r="H253">
            <v>0</v>
          </cell>
        </row>
        <row r="254">
          <cell r="B254" t="str">
            <v>Profession Tax</v>
          </cell>
          <cell r="G254">
            <v>130</v>
          </cell>
          <cell r="H254">
            <v>1770.2</v>
          </cell>
        </row>
        <row r="256">
          <cell r="G256">
            <v>367058.4</v>
          </cell>
          <cell r="H256">
            <v>965216.54999999993</v>
          </cell>
        </row>
        <row r="258">
          <cell r="B258" t="str">
            <v>SCHEDULE "L"</v>
          </cell>
        </row>
        <row r="260">
          <cell r="B260" t="str">
            <v>ADMINISTRATIVE &amp; OTHER EXPENSES</v>
          </cell>
        </row>
        <row r="261">
          <cell r="B261" t="str">
            <v>Rent, Rates &amp; Taxes</v>
          </cell>
          <cell r="G261">
            <v>188235.64</v>
          </cell>
          <cell r="H261">
            <v>275279</v>
          </cell>
        </row>
        <row r="262">
          <cell r="B262" t="str">
            <v>Traveling &amp; Conveyance</v>
          </cell>
          <cell r="G262">
            <v>22517.5</v>
          </cell>
          <cell r="H262">
            <v>62786</v>
          </cell>
        </row>
        <row r="263">
          <cell r="B263" t="str">
            <v>Insurance</v>
          </cell>
          <cell r="G263">
            <v>6893</v>
          </cell>
          <cell r="H263">
            <v>103590</v>
          </cell>
        </row>
        <row r="264">
          <cell r="B264" t="str">
            <v>Postage, Telephone &amp; Telegrams</v>
          </cell>
          <cell r="G264">
            <v>111111.5</v>
          </cell>
          <cell r="H264">
            <v>78786</v>
          </cell>
        </row>
        <row r="265">
          <cell r="B265" t="str">
            <v>Printing &amp; Stationary</v>
          </cell>
          <cell r="G265">
            <v>42246.25</v>
          </cell>
          <cell r="H265">
            <v>56772.2</v>
          </cell>
        </row>
        <row r="266">
          <cell r="B266" t="str">
            <v>Newspaper and Periodicals</v>
          </cell>
          <cell r="G266">
            <v>25738.6</v>
          </cell>
          <cell r="H266">
            <v>46299.35</v>
          </cell>
        </row>
        <row r="267">
          <cell r="B267" t="str">
            <v>Electricity Charges</v>
          </cell>
          <cell r="G267">
            <v>706281</v>
          </cell>
          <cell r="H267">
            <v>932861</v>
          </cell>
        </row>
        <row r="268">
          <cell r="B268" t="str">
            <v>Laundry Charges</v>
          </cell>
          <cell r="G268">
            <v>56167</v>
          </cell>
          <cell r="H268">
            <v>114778</v>
          </cell>
        </row>
        <row r="269">
          <cell r="B269" t="str">
            <v>Vehicle Expenses</v>
          </cell>
          <cell r="G269">
            <v>87097</v>
          </cell>
          <cell r="H269">
            <v>142165</v>
          </cell>
        </row>
        <row r="270">
          <cell r="B270" t="str">
            <v>Professional &amp; Consultancy charges</v>
          </cell>
          <cell r="G270">
            <v>3617</v>
          </cell>
          <cell r="H270">
            <v>87200</v>
          </cell>
        </row>
        <row r="271">
          <cell r="B271" t="str">
            <v>Audit fees</v>
          </cell>
          <cell r="G271">
            <v>0</v>
          </cell>
          <cell r="H271">
            <v>10500</v>
          </cell>
        </row>
        <row r="272">
          <cell r="B272" t="str">
            <v>Staff Welfare Expenses</v>
          </cell>
          <cell r="G272">
            <v>38302.65</v>
          </cell>
          <cell r="H272">
            <v>62066.55</v>
          </cell>
        </row>
        <row r="273">
          <cell r="B273" t="str">
            <v>House Keeping Expenses</v>
          </cell>
          <cell r="G273">
            <v>135838.25</v>
          </cell>
          <cell r="H273">
            <v>322056.34999999998</v>
          </cell>
        </row>
        <row r="274">
          <cell r="B274" t="str">
            <v>Repair &amp; Maintainence</v>
          </cell>
          <cell r="G274">
            <v>208964</v>
          </cell>
          <cell r="H274">
            <v>341955</v>
          </cell>
        </row>
        <row r="275">
          <cell r="B275" t="str">
            <v>Mansoon Shed Expenses</v>
          </cell>
          <cell r="G275">
            <v>0</v>
          </cell>
          <cell r="H275">
            <v>66840</v>
          </cell>
        </row>
        <row r="276">
          <cell r="B276" t="str">
            <v>Miscellaneous Expenses</v>
          </cell>
          <cell r="G276">
            <v>29198</v>
          </cell>
          <cell r="H276">
            <v>29447</v>
          </cell>
        </row>
        <row r="277">
          <cell r="B277" t="str">
            <v>Office Expenses</v>
          </cell>
          <cell r="G277">
            <v>28528</v>
          </cell>
          <cell r="H277">
            <v>12864.5</v>
          </cell>
        </row>
        <row r="279">
          <cell r="G279">
            <v>1690735.39</v>
          </cell>
          <cell r="H279">
            <v>2746245.9499999997</v>
          </cell>
        </row>
        <row r="282">
          <cell r="B282" t="str">
            <v xml:space="preserve">HOTEL ROYAL(DIV.OF BALAN HOTELS PVT.LTD. </v>
          </cell>
        </row>
        <row r="284">
          <cell r="B284" t="str">
            <v>SCHEDULES ANNEXED TO AND FORMING PART OF THE BALANCE SHEET AS AT</v>
          </cell>
        </row>
        <row r="285">
          <cell r="B285" t="str">
            <v>30TH SEPTEMBER ,2000 AND PROFIT AND LOSS ACCOUNT FOR THE PERIOD ENDED ON</v>
          </cell>
        </row>
        <row r="286">
          <cell r="B286" t="str">
            <v>THAT DATE.</v>
          </cell>
        </row>
        <row r="288">
          <cell r="G288" t="str">
            <v>CURRENT</v>
          </cell>
          <cell r="H288" t="str">
            <v>PREVIOUS</v>
          </cell>
        </row>
        <row r="289">
          <cell r="C289" t="str">
            <v>PARTICULARS</v>
          </cell>
          <cell r="G289" t="str">
            <v>PERIOD</v>
          </cell>
          <cell r="H289" t="str">
            <v>YEAR</v>
          </cell>
        </row>
        <row r="290">
          <cell r="G290" t="str">
            <v>Rupees</v>
          </cell>
          <cell r="H290" t="str">
            <v>Rupees</v>
          </cell>
        </row>
        <row r="292">
          <cell r="B292" t="str">
            <v>SCHEDULE "M"</v>
          </cell>
        </row>
        <row r="294">
          <cell r="B294" t="str">
            <v>SELLING &amp; DISTRIBUTION EXPENSES</v>
          </cell>
        </row>
        <row r="295">
          <cell r="B295" t="str">
            <v>Business Promotion</v>
          </cell>
          <cell r="G295">
            <v>19049</v>
          </cell>
          <cell r="H295">
            <v>10597</v>
          </cell>
        </row>
        <row r="296">
          <cell r="B296" t="str">
            <v xml:space="preserve">Credit Card Commission </v>
          </cell>
          <cell r="G296">
            <v>22607.8</v>
          </cell>
          <cell r="H296">
            <v>42570</v>
          </cell>
        </row>
        <row r="297">
          <cell r="B297" t="str">
            <v>Cash Discount on Sales</v>
          </cell>
          <cell r="G297">
            <v>63194</v>
          </cell>
          <cell r="H297">
            <v>0</v>
          </cell>
        </row>
        <row r="298">
          <cell r="B298" t="str">
            <v>Advertisement</v>
          </cell>
          <cell r="G298">
            <v>2501</v>
          </cell>
          <cell r="H298">
            <v>22161</v>
          </cell>
        </row>
        <row r="299">
          <cell r="G299">
            <v>107351.8</v>
          </cell>
          <cell r="H299">
            <v>75328</v>
          </cell>
        </row>
        <row r="301">
          <cell r="B301" t="str">
            <v>SCHEDULE "N"</v>
          </cell>
        </row>
        <row r="303">
          <cell r="B303" t="str">
            <v>FINANCIAL EXPENSES</v>
          </cell>
        </row>
        <row r="304">
          <cell r="B304" t="str">
            <v>Interest on Loan</v>
          </cell>
        </row>
        <row r="305">
          <cell r="B305" t="str">
            <v>- From ANZ Grindlays &amp; SCB</v>
          </cell>
          <cell r="G305">
            <v>30391.14</v>
          </cell>
          <cell r="H305">
            <v>74448.39</v>
          </cell>
        </row>
        <row r="307">
          <cell r="B307" t="str">
            <v>Interest on Unsecured Loan</v>
          </cell>
        </row>
        <row r="308">
          <cell r="B308" t="str">
            <v>-From Others</v>
          </cell>
          <cell r="G308">
            <v>43587.6</v>
          </cell>
          <cell r="H308">
            <v>114197</v>
          </cell>
        </row>
        <row r="309">
          <cell r="B309" t="str">
            <v>Bank charges</v>
          </cell>
          <cell r="G309">
            <v>1082.54</v>
          </cell>
          <cell r="H309">
            <v>11271</v>
          </cell>
        </row>
        <row r="311">
          <cell r="G311">
            <v>75061.279999999984</v>
          </cell>
          <cell r="H311">
            <v>199916.39</v>
          </cell>
        </row>
        <row r="315">
          <cell r="B315" t="str">
            <v xml:space="preserve">HOTEL ROYAL(DIV.OF BALAN HOTELS PVT.LTD. </v>
          </cell>
        </row>
        <row r="317">
          <cell r="B317" t="str">
            <v xml:space="preserve">GROUPING FORMING PART OF THE BALANCE SHEET AND </v>
          </cell>
        </row>
        <row r="318">
          <cell r="B318" t="str">
            <v>PROFIT AND LOSS ACCOUNTS FOR THE PERIOD 30.09.2000</v>
          </cell>
        </row>
        <row r="321">
          <cell r="B321" t="str">
            <v>DETAILS OF LOAN</v>
          </cell>
        </row>
        <row r="323">
          <cell r="B323" t="str">
            <v>Balan And Associates</v>
          </cell>
          <cell r="G323">
            <v>160576.9</v>
          </cell>
        </row>
        <row r="324">
          <cell r="B324" t="str">
            <v>Premji Nagda</v>
          </cell>
          <cell r="G324">
            <v>67381.5</v>
          </cell>
        </row>
        <row r="325">
          <cell r="B325" t="str">
            <v>Yogesh Siney</v>
          </cell>
          <cell r="G325">
            <v>231394.6</v>
          </cell>
        </row>
        <row r="326">
          <cell r="B326" t="str">
            <v>Sanjay Agarwal</v>
          </cell>
        </row>
        <row r="327">
          <cell r="B327" t="str">
            <v>Madhuben Chedda</v>
          </cell>
          <cell r="G327">
            <v>145578</v>
          </cell>
        </row>
        <row r="329">
          <cell r="G329">
            <v>604931</v>
          </cell>
        </row>
        <row r="331">
          <cell r="B331" t="str">
            <v>CREDITORS FOR EXPENSES</v>
          </cell>
        </row>
        <row r="333">
          <cell r="B333" t="str">
            <v>VMS Audit fees</v>
          </cell>
          <cell r="G333">
            <v>24250</v>
          </cell>
        </row>
        <row r="334">
          <cell r="B334" t="str">
            <v>TDS</v>
          </cell>
          <cell r="G334">
            <v>81122.850000000006</v>
          </cell>
        </row>
        <row r="335">
          <cell r="B335" t="str">
            <v>VMS Professional Fees</v>
          </cell>
          <cell r="G335">
            <v>14600</v>
          </cell>
        </row>
        <row r="336">
          <cell r="B336" t="str">
            <v>Jaspal Premi - Gratuity</v>
          </cell>
        </row>
        <row r="338">
          <cell r="G338">
            <v>119972.85</v>
          </cell>
        </row>
        <row r="340">
          <cell r="B340" t="str">
            <v>TDS</v>
          </cell>
        </row>
        <row r="341">
          <cell r="B341" t="str">
            <v>TDS on Salary</v>
          </cell>
          <cell r="G341">
            <v>1500</v>
          </cell>
        </row>
        <row r="342">
          <cell r="B342" t="str">
            <v>TDS on Interest</v>
          </cell>
          <cell r="G342">
            <v>65249.85</v>
          </cell>
        </row>
        <row r="343">
          <cell r="B343" t="str">
            <v>TDS on Contractors</v>
          </cell>
          <cell r="G343">
            <v>14373</v>
          </cell>
        </row>
        <row r="345">
          <cell r="G345">
            <v>81122.850000000006</v>
          </cell>
        </row>
        <row r="347">
          <cell r="B347" t="str">
            <v>PROVISION FOR EXPENSES</v>
          </cell>
        </row>
        <row r="348">
          <cell r="B348" t="str">
            <v>Water Tax</v>
          </cell>
          <cell r="G348">
            <v>58953</v>
          </cell>
        </row>
        <row r="349">
          <cell r="B349" t="str">
            <v>Staff Meals</v>
          </cell>
          <cell r="G349">
            <v>4301</v>
          </cell>
        </row>
        <row r="350">
          <cell r="B350" t="str">
            <v>Property Tax</v>
          </cell>
          <cell r="G350">
            <v>31671</v>
          </cell>
        </row>
        <row r="351">
          <cell r="B351" t="str">
            <v>Luxury Tax</v>
          </cell>
          <cell r="G351">
            <v>107037</v>
          </cell>
        </row>
        <row r="352">
          <cell r="B352" t="str">
            <v>Providend Fund</v>
          </cell>
          <cell r="G352">
            <v>3429</v>
          </cell>
        </row>
        <row r="353">
          <cell r="B353" t="str">
            <v>ESIC</v>
          </cell>
          <cell r="G353">
            <v>10643</v>
          </cell>
        </row>
        <row r="354">
          <cell r="B354" t="str">
            <v>Life Insurance</v>
          </cell>
          <cell r="G354">
            <v>5592</v>
          </cell>
        </row>
        <row r="355">
          <cell r="B355" t="str">
            <v>A.C.Maintainence</v>
          </cell>
          <cell r="G355">
            <v>17933</v>
          </cell>
        </row>
        <row r="356">
          <cell r="B356" t="str">
            <v xml:space="preserve">Newspaper </v>
          </cell>
          <cell r="G356">
            <v>2819</v>
          </cell>
        </row>
        <row r="357">
          <cell r="B357" t="str">
            <v>Cable T.V.Charge</v>
          </cell>
          <cell r="G357">
            <v>500</v>
          </cell>
        </row>
        <row r="358">
          <cell r="B358" t="str">
            <v>PF Consultancy</v>
          </cell>
          <cell r="G358">
            <v>117</v>
          </cell>
        </row>
        <row r="359">
          <cell r="B359" t="str">
            <v>Audit Fees</v>
          </cell>
          <cell r="G359">
            <v>16650</v>
          </cell>
        </row>
        <row r="360">
          <cell r="B360" t="str">
            <v>Vehicle Maintainence</v>
          </cell>
          <cell r="G360">
            <v>9688</v>
          </cell>
        </row>
        <row r="361">
          <cell r="B361" t="str">
            <v>Cash Handling Expenses</v>
          </cell>
          <cell r="G361">
            <v>113</v>
          </cell>
        </row>
        <row r="362">
          <cell r="B362" t="str">
            <v>Salaries</v>
          </cell>
          <cell r="G362">
            <v>6146</v>
          </cell>
        </row>
        <row r="363">
          <cell r="B363" t="str">
            <v>Electricity</v>
          </cell>
          <cell r="G363">
            <v>128455</v>
          </cell>
        </row>
        <row r="364">
          <cell r="B364" t="str">
            <v>Laundry</v>
          </cell>
          <cell r="G364">
            <v>7253</v>
          </cell>
        </row>
        <row r="365">
          <cell r="B365" t="str">
            <v>Printing &amp; Stationery</v>
          </cell>
          <cell r="G365">
            <v>12245</v>
          </cell>
        </row>
        <row r="366">
          <cell r="B366" t="str">
            <v>Telephone</v>
          </cell>
          <cell r="G366">
            <v>47728</v>
          </cell>
        </row>
        <row r="367">
          <cell r="B367" t="str">
            <v>Professional Tax</v>
          </cell>
          <cell r="G367">
            <v>3160</v>
          </cell>
        </row>
        <row r="369">
          <cell r="G369">
            <v>474433</v>
          </cell>
        </row>
        <row r="371">
          <cell r="B371" t="str">
            <v>LOANS AND ADVANCES</v>
          </cell>
        </row>
        <row r="373">
          <cell r="B373" t="str">
            <v>A.V.Balan</v>
          </cell>
          <cell r="G373">
            <v>1903062.5</v>
          </cell>
        </row>
        <row r="374">
          <cell r="B374" t="str">
            <v>Mrs. Savitha M.</v>
          </cell>
          <cell r="G374">
            <v>125308.92</v>
          </cell>
        </row>
        <row r="375">
          <cell r="B375" t="str">
            <v>Kismat Ltd</v>
          </cell>
          <cell r="G375">
            <v>15000</v>
          </cell>
        </row>
        <row r="377">
          <cell r="G377">
            <v>2043371.42</v>
          </cell>
        </row>
        <row r="379">
          <cell r="B379" t="str">
            <v>SECURITY DEPOSITS</v>
          </cell>
        </row>
        <row r="380">
          <cell r="B380" t="str">
            <v>Security deposit</v>
          </cell>
          <cell r="G380">
            <v>23000</v>
          </cell>
        </row>
        <row r="381">
          <cell r="B381" t="str">
            <v xml:space="preserve">Maruti Booking </v>
          </cell>
          <cell r="G381">
            <v>5000</v>
          </cell>
        </row>
        <row r="382">
          <cell r="B382" t="str">
            <v>Electricity Deposit</v>
          </cell>
          <cell r="G382">
            <v>38320</v>
          </cell>
        </row>
        <row r="383">
          <cell r="B383" t="str">
            <v>Gas Deposit</v>
          </cell>
          <cell r="G383">
            <v>2200</v>
          </cell>
        </row>
        <row r="385">
          <cell r="G385">
            <v>68520</v>
          </cell>
        </row>
        <row r="390">
          <cell r="B390" t="str">
            <v xml:space="preserve">HOTEL ROYAL(DIV.OF BALAN HOTELS PVT.LTD. </v>
          </cell>
        </row>
        <row r="392">
          <cell r="B392" t="str">
            <v xml:space="preserve">GROUPING FORMING PART OF THE BALANCE SHEET AND </v>
          </cell>
        </row>
        <row r="393">
          <cell r="B393" t="str">
            <v>PROFIT AND LOSS ACCOUNTS FOR THE PERIOD 30.09.2000</v>
          </cell>
        </row>
        <row r="397">
          <cell r="B397" t="str">
            <v>RENT RATES &amp; TAXES</v>
          </cell>
        </row>
        <row r="399">
          <cell r="B399" t="str">
            <v>Water Tax</v>
          </cell>
          <cell r="G399">
            <v>58953</v>
          </cell>
        </row>
        <row r="400">
          <cell r="B400" t="str">
            <v>Property Tax</v>
          </cell>
          <cell r="G400">
            <v>65753</v>
          </cell>
        </row>
        <row r="401">
          <cell r="B401" t="str">
            <v>Luxury Tax</v>
          </cell>
          <cell r="G401">
            <v>62091.64</v>
          </cell>
        </row>
        <row r="402">
          <cell r="B402" t="str">
            <v>Maharashtra Labour Welfare</v>
          </cell>
          <cell r="G402">
            <v>438</v>
          </cell>
        </row>
        <row r="403">
          <cell r="B403" t="str">
            <v>Legal Charges</v>
          </cell>
          <cell r="G403">
            <v>1000</v>
          </cell>
        </row>
        <row r="405">
          <cell r="G405">
            <v>188235.64</v>
          </cell>
        </row>
        <row r="407">
          <cell r="B407" t="str">
            <v>HOUSE KEEPING EXPENSES</v>
          </cell>
        </row>
        <row r="408">
          <cell r="B408" t="str">
            <v>Cable T.V. Charge</v>
          </cell>
          <cell r="G408">
            <v>6500</v>
          </cell>
        </row>
        <row r="409">
          <cell r="B409" t="str">
            <v>House Keeping Expense</v>
          </cell>
          <cell r="G409">
            <v>129338.25</v>
          </cell>
        </row>
        <row r="411">
          <cell r="G411">
            <v>135838.25</v>
          </cell>
        </row>
        <row r="413">
          <cell r="B413" t="str">
            <v>REPAIR &amp; MAINTAINENCE</v>
          </cell>
        </row>
        <row r="414">
          <cell r="B414" t="str">
            <v>Repair &amp; Maintainence</v>
          </cell>
          <cell r="G414">
            <v>20639</v>
          </cell>
        </row>
        <row r="415">
          <cell r="B415" t="str">
            <v>Monsoon Shed</v>
          </cell>
          <cell r="G415">
            <v>52252</v>
          </cell>
        </row>
        <row r="416">
          <cell r="B416" t="str">
            <v>A.C. Maintainence</v>
          </cell>
          <cell r="G416">
            <v>114733</v>
          </cell>
        </row>
        <row r="417">
          <cell r="B417" t="str">
            <v>Computer Maintainence</v>
          </cell>
          <cell r="G417">
            <v>14880</v>
          </cell>
        </row>
        <row r="418">
          <cell r="B418" t="str">
            <v>EPABX Maintainence</v>
          </cell>
          <cell r="G418">
            <v>6460</v>
          </cell>
        </row>
        <row r="420">
          <cell r="G420">
            <v>208964</v>
          </cell>
        </row>
        <row r="422">
          <cell r="B422" t="str">
            <v>OFFICE EXPENSES</v>
          </cell>
        </row>
        <row r="423">
          <cell r="B423" t="str">
            <v>Office Expenses</v>
          </cell>
          <cell r="G423">
            <v>24891</v>
          </cell>
        </row>
        <row r="424">
          <cell r="B424" t="str">
            <v>Membership &amp; Subscription</v>
          </cell>
          <cell r="G424">
            <v>3637</v>
          </cell>
        </row>
        <row r="426">
          <cell r="G426">
            <v>28528</v>
          </cell>
        </row>
      </sheetData>
      <sheetData sheetId="1">
        <row r="27">
          <cell r="F27">
            <v>5196699.32</v>
          </cell>
        </row>
      </sheetData>
      <sheetData sheetId="2">
        <row r="25">
          <cell r="E25">
            <v>8226798.5200000005</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amp;PLA"/>
      <sheetName val="computation"/>
      <sheetName val="Sheet2"/>
      <sheetName val="IT- DEP"/>
      <sheetName val="fixed assets"/>
      <sheetName val="BS 590"/>
    </sheetNames>
    <sheetDataSet>
      <sheetData sheetId="0"/>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bs"/>
      <sheetName val="sch 5"/>
      <sheetName val=" BS-sch 1-4"/>
      <sheetName val="BS-sch 6 &amp; 7"/>
      <sheetName val="BS-sch 8 &amp; 9"/>
      <sheetName val="PL-sch 10, 11 &amp; 12"/>
      <sheetName val="PL-sch 13, 14 &amp; 15"/>
      <sheetName val="GP Margin"/>
      <sheetName val="TRIAL BALANCE"/>
      <sheetName val="Clause 12 (b)"/>
      <sheetName val="pl-excl"/>
      <sheetName val="pl-incl"/>
      <sheetName val="downlo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x-M"/>
      <sheetName val="Anx-N"/>
      <sheetName val="Anx_M"/>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ed Parties"/>
      <sheetName val="P&amp;L"/>
      <sheetName val="BS"/>
      <sheetName val="VARIANCE ANALYSIS "/>
      <sheetName val="Sch 1-4"/>
      <sheetName val="Sch-5"/>
      <sheetName val="Sch-6-11"/>
      <sheetName val="Sch 12 &amp;13"/>
      <sheetName val="P&amp;L Sch 14-16"/>
      <sheetName val="P&amp;L Sch 17-19"/>
      <sheetName val="Data Entry"/>
      <sheetName val="TRIAL BALANCE (2)"/>
      <sheetName val="TRIAL BALANCE"/>
      <sheetName val="TB Download"/>
      <sheetName val="TBdownload-2002"/>
      <sheetName val="CC wise Download"/>
      <sheetName val="SIF P&amp;L BS"/>
      <sheetName val="SIF P&amp;L"/>
      <sheetName val="SIF Workings"/>
      <sheetName val="SIF Results Back up"/>
      <sheetName val="PROVISIONS"/>
      <sheetName val="Pl-Incl"/>
      <sheetName val="pl-Excl"/>
      <sheetName val="sch-I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metnal"/>
      <sheetName val="HONOTES"/>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_Gains"/>
      <sheetName val="Sheet1"/>
    </sheetNames>
    <sheetDataSet>
      <sheetData sheetId="0"/>
      <sheetData sheetId="1">
        <row r="1">
          <cell r="A1" t="str">
            <v>N/A</v>
          </cell>
          <cell r="B1" t="str">
            <v>Aarti Industries Ltd.</v>
          </cell>
          <cell r="C1" t="str">
            <v>Residential</v>
          </cell>
        </row>
        <row r="2">
          <cell r="A2" t="str">
            <v>No</v>
          </cell>
          <cell r="B2" t="str">
            <v>Aban Loyd Chiles Offshore Ltd.</v>
          </cell>
          <cell r="C2" t="str">
            <v>Other</v>
          </cell>
        </row>
        <row r="3">
          <cell r="A3" t="str">
            <v>Yes</v>
          </cell>
          <cell r="B3" t="str">
            <v>Abbott India Ltd.</v>
          </cell>
          <cell r="C3" t="str">
            <v>Shares/Units</v>
          </cell>
        </row>
        <row r="4">
          <cell r="B4" t="str">
            <v>Adani Exports Ltd.</v>
          </cell>
          <cell r="C4" t="str">
            <v>Land</v>
          </cell>
        </row>
        <row r="5">
          <cell r="B5" t="str">
            <v>AFT Industries Ltd.</v>
          </cell>
          <cell r="C5" t="str">
            <v>Debentures</v>
          </cell>
        </row>
        <row r="6">
          <cell r="B6" t="str">
            <v>Aftek Infosys Ltd.</v>
          </cell>
        </row>
        <row r="7">
          <cell r="B7" t="str">
            <v>Agro Dutch Industries Ltd.</v>
          </cell>
        </row>
        <row r="8">
          <cell r="B8" t="str">
            <v>Agro Tech Foods Ltd.</v>
          </cell>
        </row>
        <row r="9">
          <cell r="B9" t="str">
            <v>Ahmedabad Electricity Co.Ltd.</v>
          </cell>
        </row>
        <row r="10">
          <cell r="B10" t="str">
            <v>Ajanta Pharma Ltd.</v>
          </cell>
        </row>
        <row r="11">
          <cell r="B11" t="str">
            <v>Aksh Optifibre Ltd.</v>
          </cell>
        </row>
        <row r="12">
          <cell r="B12" t="str">
            <v>Albright &amp; Wilson Chemicals India Ltd.</v>
          </cell>
        </row>
        <row r="13">
          <cell r="B13" t="str">
            <v>Alembic Ltd.</v>
          </cell>
        </row>
        <row r="14">
          <cell r="B14" t="str">
            <v>Alfa Laval (India) Ltd.</v>
          </cell>
        </row>
        <row r="15">
          <cell r="B15" t="str">
            <v>Alps Industries Ltd.</v>
          </cell>
        </row>
        <row r="16">
          <cell r="B16" t="str">
            <v>Alstom Ltd.</v>
          </cell>
        </row>
        <row r="17">
          <cell r="B17" t="str">
            <v>Alstom Power India Ltd.</v>
          </cell>
        </row>
        <row r="18">
          <cell r="B18" t="str">
            <v>Amara Raja Batteries Ltd.</v>
          </cell>
        </row>
        <row r="19">
          <cell r="B19" t="str">
            <v>Ambalal Sarabhai Enterprise Ltd.</v>
          </cell>
        </row>
        <row r="20">
          <cell r="B20" t="str">
            <v>Amtrex Hitachi Appliances Ltd.</v>
          </cell>
        </row>
        <row r="21">
          <cell r="B21" t="str">
            <v>Andhra Bank</v>
          </cell>
        </row>
        <row r="22">
          <cell r="B22" t="str">
            <v>Apollo Hospitals Enterprises Ltd.</v>
          </cell>
        </row>
        <row r="23">
          <cell r="B23" t="str">
            <v>Apollo Tyres Ltd.</v>
          </cell>
        </row>
        <row r="24">
          <cell r="B24" t="str">
            <v>Archies Greetings &amp; Gifts Ltd.</v>
          </cell>
        </row>
        <row r="25">
          <cell r="B25" t="str">
            <v>Arvind Mills Ltd.</v>
          </cell>
        </row>
        <row r="26">
          <cell r="B26" t="str">
            <v>Asea Brown Boveri Ltd.</v>
          </cell>
        </row>
        <row r="27">
          <cell r="B27" t="str">
            <v>Ashima Ltd.</v>
          </cell>
        </row>
        <row r="28">
          <cell r="B28" t="str">
            <v>Ashok Leyland Finance Ltd.</v>
          </cell>
        </row>
        <row r="29">
          <cell r="B29" t="str">
            <v>Ashok Leyland Ltd.</v>
          </cell>
        </row>
        <row r="30">
          <cell r="B30" t="str">
            <v>Asian Hotels Ltd.</v>
          </cell>
        </row>
        <row r="31">
          <cell r="B31" t="str">
            <v>Asian Paints (India) Ltd.</v>
          </cell>
        </row>
        <row r="32">
          <cell r="B32" t="str">
            <v>Assam Company Ltd.</v>
          </cell>
        </row>
        <row r="33">
          <cell r="B33" t="str">
            <v>Associated Cement Cos. Ltd.</v>
          </cell>
        </row>
        <row r="34">
          <cell r="B34" t="str">
            <v>AstraZeneca Pharma India Ltd.</v>
          </cell>
        </row>
        <row r="35">
          <cell r="B35" t="str">
            <v>Atcom Technologies Ltd.</v>
          </cell>
        </row>
        <row r="36">
          <cell r="B36" t="str">
            <v>Atlas Copco (India) Ltd.</v>
          </cell>
        </row>
        <row r="37">
          <cell r="B37" t="str">
            <v>Atul Ltd.</v>
          </cell>
        </row>
        <row r="38">
          <cell r="B38" t="str">
            <v>Aurobindo Pharma Ltd.</v>
          </cell>
        </row>
        <row r="39">
          <cell r="B39" t="str">
            <v>Automotive Axles Ltd.</v>
          </cell>
        </row>
        <row r="40">
          <cell r="B40" t="str">
            <v>Aventis Crop Science India Ltd.</v>
          </cell>
        </row>
        <row r="41">
          <cell r="B41" t="str">
            <v>Aventis Pharma Ltd.</v>
          </cell>
        </row>
        <row r="42">
          <cell r="B42" t="str">
            <v>Avon Organics Ltd.</v>
          </cell>
        </row>
        <row r="43">
          <cell r="B43" t="str">
            <v>Aztec Software and Technolgy Services Ltd.</v>
          </cell>
        </row>
        <row r="44">
          <cell r="B44" t="str">
            <v>Bajaj Auto Finance Ltd.</v>
          </cell>
        </row>
        <row r="45">
          <cell r="B45" t="str">
            <v>Bajaj Auto Ltd.</v>
          </cell>
        </row>
        <row r="46">
          <cell r="B46" t="str">
            <v>Bajaj Hindustan Ltd.</v>
          </cell>
        </row>
        <row r="47">
          <cell r="B47" t="str">
            <v>Balaji Distilleries Ltd.</v>
          </cell>
        </row>
        <row r="48">
          <cell r="B48" t="str">
            <v>Balaji Telefilms Ltd.</v>
          </cell>
        </row>
        <row r="49">
          <cell r="B49" t="str">
            <v>Ballarpur Industries Ltd.</v>
          </cell>
        </row>
        <row r="50">
          <cell r="B50" t="str">
            <v>Balrampur Chini Mills Ltd.</v>
          </cell>
        </row>
        <row r="51">
          <cell r="B51" t="str">
            <v>Bank Of Baroda</v>
          </cell>
        </row>
        <row r="52">
          <cell r="B52" t="str">
            <v>Bank of India</v>
          </cell>
        </row>
        <row r="53">
          <cell r="B53" t="str">
            <v>Bank Of Punjab Ltd.</v>
          </cell>
        </row>
        <row r="54">
          <cell r="B54" t="str">
            <v>Bannari Amman Sugars Ltd.</v>
          </cell>
        </row>
        <row r="55">
          <cell r="B55" t="str">
            <v>BASF India Ltd.</v>
          </cell>
        </row>
        <row r="56">
          <cell r="B56" t="str">
            <v>Bata India Ltd.</v>
          </cell>
        </row>
        <row r="57">
          <cell r="B57" t="str">
            <v>Bayer (India) Ltd.</v>
          </cell>
        </row>
        <row r="58">
          <cell r="B58" t="str">
            <v>Bayer ABS Ltd.</v>
          </cell>
        </row>
        <row r="59">
          <cell r="B59" t="str">
            <v>Berger Paints India Ltd.</v>
          </cell>
        </row>
        <row r="60">
          <cell r="B60" t="str">
            <v>Bharat Earth Movers Ltd.</v>
          </cell>
        </row>
        <row r="61">
          <cell r="B61" t="str">
            <v>Bharat Electronics Ltd.</v>
          </cell>
        </row>
        <row r="62">
          <cell r="B62" t="str">
            <v>Bharat Forge Ltd.</v>
          </cell>
        </row>
        <row r="63">
          <cell r="B63" t="str">
            <v>Bharat Heavy Electricals Ltd.</v>
          </cell>
        </row>
        <row r="64">
          <cell r="B64" t="str">
            <v>Bharat Petroleum Corpn. Ltd.</v>
          </cell>
        </row>
        <row r="65">
          <cell r="B65" t="str">
            <v>Bharti Tele-Ventures Ltd.</v>
          </cell>
        </row>
        <row r="66">
          <cell r="B66" t="str">
            <v>Bhartiya International Ltd.</v>
          </cell>
        </row>
        <row r="67">
          <cell r="B67" t="str">
            <v>Bhushan Steel &amp; Strips Ltd.</v>
          </cell>
        </row>
        <row r="68">
          <cell r="B68" t="str">
            <v>Binani Industries Ltd.</v>
          </cell>
        </row>
        <row r="69">
          <cell r="B69" t="str">
            <v>Birla 3M Ltd.</v>
          </cell>
        </row>
        <row r="70">
          <cell r="B70" t="str">
            <v>Birla Corporation Ltd.</v>
          </cell>
        </row>
        <row r="71">
          <cell r="B71" t="str">
            <v>Birla Ericsson Opticaal Ltd.</v>
          </cell>
        </row>
        <row r="72">
          <cell r="B72" t="str">
            <v>Birla Global Finance Ltd.</v>
          </cell>
        </row>
        <row r="73">
          <cell r="B73" t="str">
            <v>Blow Plast Ltd.</v>
          </cell>
        </row>
        <row r="74">
          <cell r="B74" t="str">
            <v>Blue Dart Express Ltd.</v>
          </cell>
        </row>
        <row r="75">
          <cell r="B75" t="str">
            <v>Blue Star Ltd.</v>
          </cell>
        </row>
        <row r="76">
          <cell r="B76" t="str">
            <v>BOC India Ltd.</v>
          </cell>
        </row>
        <row r="77">
          <cell r="B77" t="str">
            <v>Bombay Burmah Trading Corpn. Ltd.</v>
          </cell>
        </row>
        <row r="78">
          <cell r="B78" t="str">
            <v>Bombay Dyeing &amp; Mfg. Co. Ltd.</v>
          </cell>
        </row>
        <row r="79">
          <cell r="B79" t="str">
            <v>BPL Ltd.</v>
          </cell>
        </row>
        <row r="80">
          <cell r="B80" t="str">
            <v>Britannia Industries Ltd.</v>
          </cell>
        </row>
        <row r="81">
          <cell r="B81" t="str">
            <v>BSES Ltd.</v>
          </cell>
        </row>
        <row r="82">
          <cell r="B82" t="str">
            <v>Burroughs Wellcome (India) Ltd.</v>
          </cell>
        </row>
        <row r="83">
          <cell r="B83" t="str">
            <v>Cadila Healthcare Ltd.</v>
          </cell>
        </row>
        <row r="84">
          <cell r="B84" t="str">
            <v>Carborundum Universal Ltd.</v>
          </cell>
        </row>
        <row r="85">
          <cell r="B85" t="str">
            <v>Carrier Aircon Ltd.</v>
          </cell>
        </row>
        <row r="86">
          <cell r="B86" t="str">
            <v>Castrol India Ltd.</v>
          </cell>
        </row>
        <row r="87">
          <cell r="B87" t="str">
            <v>Ceat Ltd.</v>
          </cell>
        </row>
        <row r="88">
          <cell r="B88" t="str">
            <v>Centurion Bank Ltd.</v>
          </cell>
        </row>
        <row r="89">
          <cell r="B89" t="str">
            <v>Century Enka Ltd.</v>
          </cell>
        </row>
        <row r="90">
          <cell r="B90" t="str">
            <v>Century Textiles &amp; Industries Ltd.</v>
          </cell>
        </row>
        <row r="91">
          <cell r="B91" t="str">
            <v>CESC Ltd.</v>
          </cell>
        </row>
        <row r="92">
          <cell r="B92" t="str">
            <v>CG Igarashi Motars Ltd.</v>
          </cell>
        </row>
        <row r="93">
          <cell r="B93" t="str">
            <v>Chambal Fertilisers &amp; Chemicals Ltd.</v>
          </cell>
        </row>
        <row r="94">
          <cell r="B94" t="str">
            <v>Chemplast Sanmar Ltd.</v>
          </cell>
        </row>
        <row r="95">
          <cell r="B95" t="str">
            <v>Chennai Petroleum Corporation Ltd.</v>
          </cell>
        </row>
        <row r="96">
          <cell r="B96" t="str">
            <v>Ciba Speciality Chemicals (India) Ltd.</v>
          </cell>
        </row>
        <row r="97">
          <cell r="B97" t="str">
            <v>Cinevistaas Ltd</v>
          </cell>
        </row>
        <row r="98">
          <cell r="B98" t="str">
            <v>Cipla Ltd.</v>
          </cell>
        </row>
        <row r="99">
          <cell r="B99" t="str">
            <v>Clariant (India) Ltd.</v>
          </cell>
        </row>
        <row r="100">
          <cell r="B100" t="str">
            <v>CMC Ltd.</v>
          </cell>
        </row>
        <row r="101">
          <cell r="B101" t="str">
            <v>Coates of India Ltd.</v>
          </cell>
        </row>
        <row r="102">
          <cell r="B102" t="str">
            <v>Colgate-Palmolive (India) Ltd.</v>
          </cell>
        </row>
        <row r="103">
          <cell r="B103" t="str">
            <v>Colour Chem Ltd.</v>
          </cell>
        </row>
        <row r="104">
          <cell r="B104" t="str">
            <v>Computech International Ltd.</v>
          </cell>
        </row>
        <row r="105">
          <cell r="B105" t="str">
            <v>Container Corporation Of India Ltd.</v>
          </cell>
        </row>
        <row r="106">
          <cell r="B106" t="str">
            <v>Core Healthcare Ltd.</v>
          </cell>
        </row>
        <row r="107">
          <cell r="B107" t="str">
            <v>Corporation Bank</v>
          </cell>
        </row>
        <row r="108">
          <cell r="B108" t="str">
            <v>Credit Rating Information Services</v>
          </cell>
        </row>
        <row r="109">
          <cell r="B109" t="str">
            <v>Crest Communications Ltd.</v>
          </cell>
        </row>
        <row r="110">
          <cell r="B110" t="str">
            <v>Crompton Greaves Ltd.</v>
          </cell>
        </row>
        <row r="111">
          <cell r="B111" t="str">
            <v>Cummins India Ltd.</v>
          </cell>
        </row>
        <row r="112">
          <cell r="B112" t="str">
            <v>Cybertech Systems and Software Ltd.</v>
          </cell>
        </row>
        <row r="113">
          <cell r="B113" t="str">
            <v>Dabur India Ltd.</v>
          </cell>
        </row>
        <row r="114">
          <cell r="B114" t="str">
            <v>Daewoo Motors India Ltd.</v>
          </cell>
        </row>
        <row r="115">
          <cell r="B115" t="str">
            <v>Dalmia Cement (Bharat) Ltd.</v>
          </cell>
        </row>
        <row r="116">
          <cell r="B116" t="str">
            <v>Deepak Fertilizers &amp;Petrochemicals</v>
          </cell>
        </row>
        <row r="117">
          <cell r="B117" t="str">
            <v>Dena Bank</v>
          </cell>
        </row>
        <row r="118">
          <cell r="B118" t="str">
            <v>Digital Globalsoft Ltd.</v>
          </cell>
        </row>
        <row r="119">
          <cell r="B119" t="str">
            <v>Dr. Reddys Laboratories Ltd.</v>
          </cell>
        </row>
        <row r="120">
          <cell r="B120" t="str">
            <v>Dredging Corporation of India Ltd.</v>
          </cell>
        </row>
        <row r="121">
          <cell r="B121" t="str">
            <v>DSQ Software Ltd.</v>
          </cell>
        </row>
        <row r="122">
          <cell r="B122" t="str">
            <v>Duphar-Interfran Ltd.</v>
          </cell>
        </row>
        <row r="123">
          <cell r="B123" t="str">
            <v>E.I.D. Parry (India) Ltd.</v>
          </cell>
        </row>
        <row r="124">
          <cell r="B124" t="str">
            <v>Eicher Motors Ltd.</v>
          </cell>
        </row>
        <row r="125">
          <cell r="B125" t="str">
            <v>EIH Ltd.</v>
          </cell>
        </row>
        <row r="126">
          <cell r="B126" t="str">
            <v>Elbee Services Ltd.</v>
          </cell>
        </row>
        <row r="127">
          <cell r="B127" t="str">
            <v>Elder Pharmaceuticals Ltd.</v>
          </cell>
        </row>
        <row r="128">
          <cell r="B128" t="str">
            <v>Electrolux Kelvinator Ltd.</v>
          </cell>
        </row>
        <row r="129">
          <cell r="B129" t="str">
            <v>Electrosteel Castings Ltd.</v>
          </cell>
        </row>
        <row r="130">
          <cell r="B130" t="str">
            <v>Elgi Equipments Ltd.</v>
          </cell>
        </row>
        <row r="131">
          <cell r="B131" t="str">
            <v>EMCO Ltd.</v>
          </cell>
        </row>
        <row r="132">
          <cell r="B132" t="str">
            <v>Engineers India Ltd.</v>
          </cell>
        </row>
        <row r="133">
          <cell r="B133" t="str">
            <v>Esab India Ltd.</v>
          </cell>
        </row>
        <row r="134">
          <cell r="B134" t="str">
            <v>Escorts Ltd.</v>
          </cell>
        </row>
        <row r="135">
          <cell r="B135" t="str">
            <v>e-Serve International Ltd.</v>
          </cell>
        </row>
        <row r="136">
          <cell r="B136" t="str">
            <v>Eskay KnIT (India) Ltd.</v>
          </cell>
        </row>
        <row r="137">
          <cell r="B137" t="str">
            <v>Essar Oil Ltd.</v>
          </cell>
        </row>
        <row r="138">
          <cell r="B138" t="str">
            <v>Essar Shipping Ltd.</v>
          </cell>
        </row>
        <row r="139">
          <cell r="B139" t="str">
            <v>Essar Steel Ltd.</v>
          </cell>
        </row>
        <row r="140">
          <cell r="B140" t="str">
            <v>Essel Propack Ltd.</v>
          </cell>
        </row>
        <row r="141">
          <cell r="B141" t="str">
            <v>ETC Networks Ltd.</v>
          </cell>
        </row>
        <row r="142">
          <cell r="B142" t="str">
            <v>Eveready Industries India Ltd.</v>
          </cell>
        </row>
        <row r="143">
          <cell r="B143" t="str">
            <v>Excell Industries Ltd.</v>
          </cell>
        </row>
        <row r="144">
          <cell r="B144" t="str">
            <v>Exide Industries Ltd.</v>
          </cell>
        </row>
        <row r="145">
          <cell r="B145" t="str">
            <v>Fag Bearings India Ltd.</v>
          </cell>
        </row>
        <row r="146">
          <cell r="B146" t="str">
            <v>FCL Technologies &amp; Products Ltd.</v>
          </cell>
        </row>
        <row r="147">
          <cell r="B147" t="str">
            <v>FDC Ltd.</v>
          </cell>
        </row>
        <row r="148">
          <cell r="B148" t="str">
            <v>Federal Bank Ltd.</v>
          </cell>
        </row>
        <row r="149">
          <cell r="B149" t="str">
            <v>Finolex Cables Ltd.</v>
          </cell>
        </row>
        <row r="150">
          <cell r="B150" t="str">
            <v>Finolex Industries Ltd.</v>
          </cell>
        </row>
        <row r="151">
          <cell r="B151" t="str">
            <v>Flex Industries Ltd.</v>
          </cell>
        </row>
        <row r="152">
          <cell r="B152" t="str">
            <v>Floatglass India Ltd.</v>
          </cell>
        </row>
        <row r="153">
          <cell r="B153" t="str">
            <v>Forbes Gokak Ltd.</v>
          </cell>
        </row>
        <row r="154">
          <cell r="B154" t="str">
            <v>Foseco India Ltd.</v>
          </cell>
        </row>
        <row r="155">
          <cell r="B155" t="str">
            <v>Fulford (India) Ltd.</v>
          </cell>
        </row>
        <row r="156">
          <cell r="B156" t="str">
            <v>Gail (India) Ltd.</v>
          </cell>
        </row>
        <row r="157">
          <cell r="B157" t="str">
            <v>Gammon India Ltd.</v>
          </cell>
        </row>
        <row r="158">
          <cell r="B158" t="str">
            <v>Geometric Software Solutions Co.Ltd.</v>
          </cell>
        </row>
        <row r="159">
          <cell r="B159" t="str">
            <v>George Williamson (Assam)</v>
          </cell>
        </row>
        <row r="160">
          <cell r="B160" t="str">
            <v>German Remedies Ltd.</v>
          </cell>
        </row>
        <row r="161">
          <cell r="B161" t="str">
            <v>Gillette India Ltd.</v>
          </cell>
        </row>
        <row r="162">
          <cell r="B162" t="str">
            <v>GlaxoSmithkline Consumer Healthcare Ltd.</v>
          </cell>
        </row>
        <row r="163">
          <cell r="B163" t="str">
            <v>GlaxoSmithKline Pharmaceuticals Ltd.</v>
          </cell>
        </row>
        <row r="164">
          <cell r="B164" t="str">
            <v>Glenmark Pharmaceuticals Ltd.</v>
          </cell>
        </row>
        <row r="165">
          <cell r="B165" t="str">
            <v>Global Trust Bank Ltd.</v>
          </cell>
        </row>
        <row r="166">
          <cell r="B166" t="str">
            <v>Godfrey Phillips India Ltd.</v>
          </cell>
        </row>
        <row r="167">
          <cell r="B167" t="str">
            <v>Godrej Consumer Products Ltd.</v>
          </cell>
        </row>
        <row r="168">
          <cell r="B168" t="str">
            <v>Godrej Industries Ltd.</v>
          </cell>
        </row>
        <row r="169">
          <cell r="B169" t="str">
            <v>Goetze (India) Ltd.</v>
          </cell>
        </row>
        <row r="170">
          <cell r="B170" t="str">
            <v>Goldiam International Ltd.</v>
          </cell>
        </row>
        <row r="171">
          <cell r="B171" t="str">
            <v>Goodlass Nerolac Paints Ltd.</v>
          </cell>
        </row>
        <row r="172">
          <cell r="B172" t="str">
            <v>Goodricke Group Ltd.</v>
          </cell>
        </row>
        <row r="173">
          <cell r="B173" t="str">
            <v>Goodyear India Ltd.</v>
          </cell>
        </row>
        <row r="174">
          <cell r="B174" t="str">
            <v>Grasim Industries Ltd.</v>
          </cell>
        </row>
        <row r="175">
          <cell r="B175" t="str">
            <v>Great Eastern Shipping Co. Ltd.</v>
          </cell>
        </row>
        <row r="176">
          <cell r="B176" t="str">
            <v>Greaves Ltd.</v>
          </cell>
        </row>
        <row r="177">
          <cell r="B177" t="str">
            <v>Grindwell Norton Ltd.</v>
          </cell>
        </row>
        <row r="178">
          <cell r="B178" t="str">
            <v>GTL Ltd.</v>
          </cell>
        </row>
        <row r="179">
          <cell r="B179" t="str">
            <v>Gujarat Alkalis &amp; Chemicals Ltd.</v>
          </cell>
        </row>
        <row r="180">
          <cell r="B180" t="str">
            <v>Gujarat Ambuja Cements Ltd.</v>
          </cell>
        </row>
        <row r="181">
          <cell r="B181" t="str">
            <v>Gujarat Fluorochemicals Ltd.</v>
          </cell>
        </row>
        <row r="182">
          <cell r="B182" t="str">
            <v>Gujarat Gas Co. Ltd.</v>
          </cell>
        </row>
        <row r="183">
          <cell r="B183" t="str">
            <v>Gujarat Heavy Chemicals Ltd.</v>
          </cell>
        </row>
        <row r="184">
          <cell r="B184" t="str">
            <v>Gujarat Industries Power Co. Ltd.</v>
          </cell>
        </row>
        <row r="185">
          <cell r="B185" t="str">
            <v>Gujarat Mineral Development Corporation</v>
          </cell>
        </row>
        <row r="186">
          <cell r="B186" t="str">
            <v>Gujarat Narmada Valley Fert.Co.Ltd.</v>
          </cell>
        </row>
        <row r="187">
          <cell r="B187" t="str">
            <v>Gujarat Sidhee Cement Ltd.</v>
          </cell>
        </row>
        <row r="188">
          <cell r="B188" t="str">
            <v>Gujarat State Fertilizers &amp; Chem.Ltd.</v>
          </cell>
        </row>
        <row r="189">
          <cell r="B189" t="str">
            <v>Havells India Ltd.</v>
          </cell>
        </row>
        <row r="190">
          <cell r="B190" t="str">
            <v>HCL Infosystems Ltd.</v>
          </cell>
        </row>
        <row r="191">
          <cell r="B191" t="str">
            <v>HCL Technologies Ltd.</v>
          </cell>
        </row>
        <row r="192">
          <cell r="B192" t="str">
            <v>HDFC Bank Ltd.</v>
          </cell>
        </row>
        <row r="193">
          <cell r="B193" t="str">
            <v>HEG Ltd.</v>
          </cell>
        </row>
        <row r="194">
          <cell r="B194" t="str">
            <v>Henkel Spic India Ltd.</v>
          </cell>
        </row>
        <row r="195">
          <cell r="B195" t="str">
            <v>Hero Honda Motors Ltd.</v>
          </cell>
        </row>
        <row r="196">
          <cell r="B196" t="str">
            <v>Hikal Ltd.</v>
          </cell>
        </row>
        <row r="197">
          <cell r="B197" t="str">
            <v>Himachal Futuristic Communications</v>
          </cell>
        </row>
        <row r="198">
          <cell r="B198" t="str">
            <v>Himatsingka Seide Ltd.</v>
          </cell>
        </row>
        <row r="199">
          <cell r="B199" t="str">
            <v>Hind Lever Chemicals Ltd.</v>
          </cell>
        </row>
        <row r="200">
          <cell r="B200" t="str">
            <v>Hindalco Industries Ltd.</v>
          </cell>
        </row>
        <row r="201">
          <cell r="B201" t="str">
            <v>Hindustan Construction Co. Ltd.</v>
          </cell>
        </row>
        <row r="202">
          <cell r="B202" t="str">
            <v>Hindustan Inks &amp; Resins Ltd.</v>
          </cell>
        </row>
        <row r="203">
          <cell r="B203" t="str">
            <v>Hindustan Lever Ltd.</v>
          </cell>
        </row>
        <row r="204">
          <cell r="B204" t="str">
            <v>Hindustan Motors Ltd.</v>
          </cell>
        </row>
        <row r="205">
          <cell r="B205" t="str">
            <v>Hindustan Oil Exploration Co. Ltd.</v>
          </cell>
        </row>
        <row r="206">
          <cell r="B206" t="str">
            <v>Hindustan Organic Chemicals Ltd.</v>
          </cell>
        </row>
        <row r="207">
          <cell r="B207" t="str">
            <v>Hindustan Petroleum Corporation Ltd.</v>
          </cell>
        </row>
        <row r="208">
          <cell r="B208" t="str">
            <v>Hindustan Powerplus Ltd.</v>
          </cell>
        </row>
        <row r="209">
          <cell r="B209" t="str">
            <v>Hindustan Sanitaryware &amp; Industries</v>
          </cell>
        </row>
        <row r="210">
          <cell r="B210" t="str">
            <v>Hindustan Zinc Ltd.</v>
          </cell>
        </row>
        <row r="211">
          <cell r="B211" t="str">
            <v>HMT Ltd.</v>
          </cell>
        </row>
        <row r="212">
          <cell r="B212" t="str">
            <v>Honda Siel Power Products Ltd.</v>
          </cell>
        </row>
        <row r="213">
          <cell r="B213" t="str">
            <v>Hotel Leela Venture Ltd.</v>
          </cell>
        </row>
        <row r="214">
          <cell r="B214" t="str">
            <v>Housing Development Finance Corp.Lt</v>
          </cell>
        </row>
        <row r="215">
          <cell r="B215" t="str">
            <v>Hughes Software Systems Ltd.</v>
          </cell>
        </row>
        <row r="216">
          <cell r="B216" t="str">
            <v>IBP Co. Ltd.</v>
          </cell>
        </row>
        <row r="217">
          <cell r="B217" t="str">
            <v>ICI India Ltd.</v>
          </cell>
        </row>
        <row r="218">
          <cell r="B218" t="str">
            <v>ICICI Bank Ltd.</v>
          </cell>
        </row>
        <row r="219">
          <cell r="B219" t="str">
            <v>IDBI Bank Ltd.</v>
          </cell>
        </row>
        <row r="220">
          <cell r="B220" t="str">
            <v>IFCI Ltd.</v>
          </cell>
        </row>
        <row r="221">
          <cell r="B221" t="str">
            <v>India Cements Ltd.</v>
          </cell>
        </row>
        <row r="222">
          <cell r="B222" t="str">
            <v>India Glycols Ltd.</v>
          </cell>
        </row>
        <row r="223">
          <cell r="B223" t="str">
            <v>India Gypsum Ltd.</v>
          </cell>
        </row>
        <row r="224">
          <cell r="B224" t="str">
            <v>Indian Aluminium Co. Ltd.</v>
          </cell>
        </row>
        <row r="225">
          <cell r="B225" t="str">
            <v>Indian Hotels Co. Ltd.</v>
          </cell>
        </row>
        <row r="226">
          <cell r="B226" t="str">
            <v>Indian Oil Corporation Ltd.</v>
          </cell>
        </row>
        <row r="227">
          <cell r="B227" t="str">
            <v>Indian Overseas Bank</v>
          </cell>
        </row>
        <row r="228">
          <cell r="B228" t="str">
            <v>Indian Petrochemicals Corpn. Ltd.</v>
          </cell>
        </row>
        <row r="229">
          <cell r="B229" t="str">
            <v>Indian Rayon &amp; Industries Ltd.</v>
          </cell>
        </row>
        <row r="230">
          <cell r="B230" t="str">
            <v>Indo Gulf Corporation Ltd.</v>
          </cell>
        </row>
        <row r="231">
          <cell r="B231" t="str">
            <v>Indo National Ltd.</v>
          </cell>
        </row>
        <row r="232">
          <cell r="B232" t="str">
            <v>Indo Rama Synthetics (India) Ltd.</v>
          </cell>
        </row>
        <row r="233">
          <cell r="B233" t="str">
            <v>Indraprastha Medical Corporation Ltd.</v>
          </cell>
        </row>
        <row r="234">
          <cell r="B234" t="str">
            <v>IndusInd Bank Ltd.</v>
          </cell>
        </row>
        <row r="235">
          <cell r="B235" t="str">
            <v>Industrial Development Bank of India Ltd.</v>
          </cell>
        </row>
        <row r="236">
          <cell r="B236" t="str">
            <v>Information Technologies (India) Lt</v>
          </cell>
        </row>
        <row r="237">
          <cell r="B237" t="str">
            <v>Infosys Technologies Ltd.</v>
          </cell>
        </row>
        <row r="238">
          <cell r="B238" t="str">
            <v>Infotech Enterprises Ltd.</v>
          </cell>
        </row>
        <row r="239">
          <cell r="B239" t="str">
            <v>Ingersoll-Rand (India) Ltd.</v>
          </cell>
        </row>
        <row r="240">
          <cell r="B240" t="str">
            <v>Insilco Ltd.</v>
          </cell>
        </row>
        <row r="241">
          <cell r="B241" t="str">
            <v>IP Rings Ltd.</v>
          </cell>
        </row>
        <row r="242">
          <cell r="B242" t="str">
            <v>Ipca Laboratories Ltd.</v>
          </cell>
        </row>
        <row r="243">
          <cell r="B243" t="str">
            <v>Ispat Industries Ltd.</v>
          </cell>
        </row>
        <row r="244">
          <cell r="B244" t="str">
            <v>ITC Hotels Ltd.</v>
          </cell>
        </row>
        <row r="245">
          <cell r="B245" t="str">
            <v>ITC Ltd.</v>
          </cell>
        </row>
        <row r="246">
          <cell r="B246" t="str">
            <v>ITI Ltd.</v>
          </cell>
        </row>
        <row r="247">
          <cell r="B247" t="str">
            <v>IVRCL Infrastructures &amp; Projects Ltd.</v>
          </cell>
        </row>
        <row r="248">
          <cell r="B248" t="str">
            <v>J.B. Chemicals &amp; Pharmaceuticals Ltd.</v>
          </cell>
        </row>
        <row r="249">
          <cell r="B249" t="str">
            <v>J.K.Industries Ltd.</v>
          </cell>
        </row>
        <row r="250">
          <cell r="B250" t="str">
            <v>Jagatjit Industries Ltd.</v>
          </cell>
        </row>
        <row r="251">
          <cell r="B251" t="str">
            <v>Jai Prakash Industries Ltd.</v>
          </cell>
        </row>
        <row r="252">
          <cell r="B252" t="str">
            <v>Jay Shree Tea &amp; Industries Ltd.</v>
          </cell>
        </row>
        <row r="253">
          <cell r="B253" t="str">
            <v>Jayant Agro-Organics Ltd.</v>
          </cell>
        </row>
        <row r="254">
          <cell r="B254" t="str">
            <v>JCT Ltd.</v>
          </cell>
        </row>
        <row r="255">
          <cell r="B255" t="str">
            <v>Jindal Iron &amp; Steel Co Ltd.</v>
          </cell>
        </row>
        <row r="256">
          <cell r="B256" t="str">
            <v>Jindal Photo Films Ltd.</v>
          </cell>
        </row>
        <row r="257">
          <cell r="B257" t="str">
            <v>Jindal Steel &amp; Power Ltd.</v>
          </cell>
        </row>
        <row r="258">
          <cell r="B258" t="str">
            <v>Jindal Strips Ltd.</v>
          </cell>
        </row>
        <row r="259">
          <cell r="B259" t="str">
            <v>Jindal Vijayanagar Steel Ltd.</v>
          </cell>
        </row>
        <row r="260">
          <cell r="B260" t="str">
            <v>JK Corp Ltd.</v>
          </cell>
        </row>
        <row r="261">
          <cell r="B261" t="str">
            <v>Jubilant Organosys Ltd.</v>
          </cell>
        </row>
        <row r="262">
          <cell r="B262" t="str">
            <v>Jupiter Bioscience Ltd.</v>
          </cell>
        </row>
        <row r="263">
          <cell r="B263" t="str">
            <v>Jyoti Structures Ltd.</v>
          </cell>
        </row>
        <row r="264">
          <cell r="B264" t="str">
            <v>K.E.C. International Ltd.</v>
          </cell>
        </row>
        <row r="265">
          <cell r="B265" t="str">
            <v>Kajaria Ceramics Ltd.</v>
          </cell>
        </row>
        <row r="266">
          <cell r="B266" t="str">
            <v>Kale Consultants Ltd.</v>
          </cell>
        </row>
        <row r="267">
          <cell r="B267" t="str">
            <v>Kalpataru Power Transmission Ltd.</v>
          </cell>
        </row>
        <row r="268">
          <cell r="B268" t="str">
            <v>Kalyani Steels Ltd.</v>
          </cell>
        </row>
        <row r="269">
          <cell r="B269" t="str">
            <v>Kanoria Chemicals &amp; Industries Ltd.</v>
          </cell>
        </row>
        <row r="270">
          <cell r="B270" t="str">
            <v>KDL Biotech Ltd.</v>
          </cell>
        </row>
        <row r="271">
          <cell r="B271" t="str">
            <v>Kesoram Industries Ltd.</v>
          </cell>
        </row>
        <row r="272">
          <cell r="B272" t="str">
            <v>Kinetic Motor Co. Ltd.</v>
          </cell>
        </row>
        <row r="273">
          <cell r="B273" t="str">
            <v>Kirloskar Oil Engines Ltd.</v>
          </cell>
        </row>
        <row r="274">
          <cell r="B274" t="str">
            <v>Kochi Refineries Ltd.</v>
          </cell>
        </row>
        <row r="275">
          <cell r="B275" t="str">
            <v>Kodak India Ltd.</v>
          </cell>
        </row>
        <row r="276">
          <cell r="B276" t="str">
            <v>Kopran Ltd.</v>
          </cell>
        </row>
        <row r="277">
          <cell r="B277" t="str">
            <v>Kotak Mahindra Finance Ltd.</v>
          </cell>
        </row>
        <row r="278">
          <cell r="B278" t="str">
            <v>Kothari Products Ltd.</v>
          </cell>
        </row>
        <row r="279">
          <cell r="B279" t="str">
            <v>Krebs Biochemicals Ltd.</v>
          </cell>
        </row>
        <row r="280">
          <cell r="B280" t="str">
            <v>Krishna Lifestyle Technologies Ltd.</v>
          </cell>
        </row>
        <row r="281">
          <cell r="B281" t="str">
            <v>Krone Communications Ltd.</v>
          </cell>
        </row>
        <row r="282">
          <cell r="B282" t="str">
            <v>KSB Pumps Ltd.</v>
          </cell>
        </row>
        <row r="283">
          <cell r="B283" t="str">
            <v>L.M.L. Ltd.</v>
          </cell>
        </row>
        <row r="284">
          <cell r="B284" t="str">
            <v>Lakhani India Ltd.</v>
          </cell>
        </row>
        <row r="285">
          <cell r="B285" t="str">
            <v>Lakshmi Machine Works Ltd.</v>
          </cell>
        </row>
        <row r="286">
          <cell r="B286" t="str">
            <v>Larsen &amp; Toubro Ltd.</v>
          </cell>
        </row>
        <row r="287">
          <cell r="B287" t="str">
            <v>Lic Housing Finance Ltd.</v>
          </cell>
        </row>
        <row r="288">
          <cell r="B288" t="str">
            <v>Lloyds Steel Industries Ltd.</v>
          </cell>
        </row>
        <row r="289">
          <cell r="B289" t="str">
            <v>Lupin Ltd.</v>
          </cell>
        </row>
        <row r="290">
          <cell r="B290" t="str">
            <v>M.R.F. Ltd.</v>
          </cell>
        </row>
        <row r="291">
          <cell r="B291" t="str">
            <v>Macmillan India Ltd.</v>
          </cell>
        </row>
        <row r="292">
          <cell r="B292" t="str">
            <v>Madras Aluminium Co. Ltd.</v>
          </cell>
        </row>
        <row r="293">
          <cell r="B293" t="str">
            <v>Madras Cements Ltd.</v>
          </cell>
        </row>
        <row r="294">
          <cell r="B294" t="str">
            <v>Madura Coats Ltd.</v>
          </cell>
        </row>
        <row r="295">
          <cell r="B295" t="str">
            <v>Mahanagar Telephone Nigam Ltd.</v>
          </cell>
        </row>
        <row r="296">
          <cell r="B296" t="str">
            <v>Maharashtra Seamless Ltd.</v>
          </cell>
        </row>
        <row r="297">
          <cell r="B297" t="str">
            <v>Mahavir Spg. Mills Ltd.</v>
          </cell>
        </row>
        <row r="298">
          <cell r="B298" t="str">
            <v>Mahindra &amp; Mahindra Ltd.</v>
          </cell>
        </row>
        <row r="299">
          <cell r="B299" t="str">
            <v>Mahindra Gesco Developers Ltd.</v>
          </cell>
        </row>
        <row r="300">
          <cell r="B300" t="str">
            <v>Mangalore Chemicals &amp; Fertilisers Ltd.</v>
          </cell>
        </row>
        <row r="301">
          <cell r="B301" t="str">
            <v>Mangalore Refinery &amp; Petrochemicals Ltd.</v>
          </cell>
        </row>
        <row r="302">
          <cell r="B302" t="str">
            <v>Maral Overseas Ltd.</v>
          </cell>
        </row>
        <row r="303">
          <cell r="B303" t="str">
            <v>Marico Industries Ltd.</v>
          </cell>
        </row>
        <row r="304">
          <cell r="B304" t="str">
            <v>Mascon Global Ltd.</v>
          </cell>
        </row>
        <row r="305">
          <cell r="B305" t="str">
            <v>Mascot Systems Ltd.</v>
          </cell>
        </row>
        <row r="306">
          <cell r="B306" t="str">
            <v>Mastek Ltd.</v>
          </cell>
        </row>
        <row r="307">
          <cell r="B307" t="str">
            <v>Matsushita Television &amp; Audio India</v>
          </cell>
        </row>
        <row r="308">
          <cell r="B308" t="str">
            <v>Max India Ltd.</v>
          </cell>
        </row>
        <row r="309">
          <cell r="B309" t="str">
            <v>McDowell &amp; Company Ltd.</v>
          </cell>
        </row>
        <row r="310">
          <cell r="B310" t="str">
            <v>Merck Ltd.</v>
          </cell>
        </row>
        <row r="311">
          <cell r="B311" t="str">
            <v>Mid-Day Multimedia Ltd.</v>
          </cell>
        </row>
        <row r="312">
          <cell r="B312" t="str">
            <v>Mirc Electronics Ltd.</v>
          </cell>
        </row>
        <row r="313">
          <cell r="B313" t="str">
            <v>Mirza Tanners Ltd.</v>
          </cell>
        </row>
        <row r="314">
          <cell r="B314" t="str">
            <v>Modi Rubber Ltd.</v>
          </cell>
        </row>
        <row r="315">
          <cell r="B315" t="str">
            <v>Monsanto India Ltd.</v>
          </cell>
        </row>
        <row r="316">
          <cell r="B316" t="str">
            <v>Morepen Laboratories Ltd.</v>
          </cell>
        </row>
        <row r="317">
          <cell r="B317" t="str">
            <v>Moser-Baer (India) Ltd.</v>
          </cell>
        </row>
        <row r="318">
          <cell r="B318" t="str">
            <v>Motherson Sumi Systems Ltd.</v>
          </cell>
        </row>
        <row r="319">
          <cell r="B319" t="str">
            <v>Motor Industries Co. Ltd.</v>
          </cell>
        </row>
        <row r="320">
          <cell r="B320" t="str">
            <v>Mphasis BFL Ltd.</v>
          </cell>
        </row>
        <row r="321">
          <cell r="B321" t="str">
            <v>MRO-TEK Ltd.</v>
          </cell>
        </row>
        <row r="322">
          <cell r="B322" t="str">
            <v>Mukand Engineers Ltd.</v>
          </cell>
        </row>
        <row r="323">
          <cell r="B323" t="str">
            <v>Mukand Ltd.</v>
          </cell>
        </row>
        <row r="324">
          <cell r="B324" t="str">
            <v>Mukta Arts Ltd.</v>
          </cell>
        </row>
        <row r="325">
          <cell r="B325" t="str">
            <v>Munjal Showa Ltd.</v>
          </cell>
        </row>
        <row r="326">
          <cell r="B326" t="str">
            <v>Mysore Cements Ltd.</v>
          </cell>
        </row>
        <row r="327">
          <cell r="B327" t="str">
            <v>Nagarjuna Fertiliser &amp; Chem. Ltd.</v>
          </cell>
        </row>
        <row r="328">
          <cell r="B328" t="str">
            <v>Nahar Exports Ltd.</v>
          </cell>
        </row>
        <row r="329">
          <cell r="B329" t="str">
            <v>Nahar Spinning Mills Ltd.</v>
          </cell>
        </row>
        <row r="330">
          <cell r="B330" t="str">
            <v>Narmada Chematur Petrochemicals Ltd.</v>
          </cell>
        </row>
        <row r="331">
          <cell r="B331" t="str">
            <v>Nath Seeds Ltd.</v>
          </cell>
        </row>
        <row r="332">
          <cell r="B332" t="str">
            <v>National Aluminium Co. Ltd.</v>
          </cell>
        </row>
        <row r="333">
          <cell r="B333" t="str">
            <v>National Organic Chemical Industries Ltd.</v>
          </cell>
        </row>
        <row r="334">
          <cell r="B334" t="str">
            <v>Navneet Publications (India) Ltd.</v>
          </cell>
        </row>
        <row r="335">
          <cell r="B335" t="str">
            <v>Nelco Ltd.</v>
          </cell>
        </row>
        <row r="336">
          <cell r="B336" t="str">
            <v>Nestle India Ltd.</v>
          </cell>
        </row>
        <row r="337">
          <cell r="B337" t="str">
            <v>Neyveli Lignite Corporation Ltd.</v>
          </cell>
        </row>
        <row r="338">
          <cell r="B338" t="str">
            <v>Nicholas Piramal India Ltd.</v>
          </cell>
        </row>
        <row r="339">
          <cell r="B339" t="str">
            <v>NIIT Ltd.</v>
          </cell>
        </row>
        <row r="340">
          <cell r="B340" t="str">
            <v>Nilkamal Plastics Ltd.</v>
          </cell>
        </row>
        <row r="341">
          <cell r="B341" t="str">
            <v>Nirma Ltd.</v>
          </cell>
        </row>
        <row r="342">
          <cell r="B342" t="str">
            <v>Novartis India Ltd.</v>
          </cell>
        </row>
        <row r="343">
          <cell r="B343" t="str">
            <v>NRB Bearings Ltd.</v>
          </cell>
        </row>
        <row r="344">
          <cell r="B344" t="str">
            <v>Oil And Natural Gas Corporation Ltd.</v>
          </cell>
        </row>
        <row r="345">
          <cell r="B345" t="str">
            <v>Oil Country Tubular Ltd.</v>
          </cell>
        </row>
        <row r="346">
          <cell r="B346" t="str">
            <v>Onward Technologies Ltd.</v>
          </cell>
        </row>
        <row r="347">
          <cell r="B347" t="str">
            <v>Orchid Chemicals &amp; Pharmaceuticals</v>
          </cell>
        </row>
        <row r="348">
          <cell r="B348" t="str">
            <v>Oriental Bank Of Commerce</v>
          </cell>
        </row>
        <row r="349">
          <cell r="B349" t="str">
            <v>Oriental Hotels Ltd.</v>
          </cell>
        </row>
        <row r="350">
          <cell r="B350" t="str">
            <v>Oswal Agro Mills Ltd.</v>
          </cell>
        </row>
        <row r="351">
          <cell r="B351" t="str">
            <v>Oswal Chemicals &amp; Fertilizers Ltd.</v>
          </cell>
        </row>
        <row r="352">
          <cell r="B352" t="str">
            <v>Panacea Biotec Ltd.</v>
          </cell>
        </row>
        <row r="353">
          <cell r="B353" t="str">
            <v>Paper Products Ltd.</v>
          </cell>
        </row>
        <row r="354">
          <cell r="B354" t="str">
            <v>Parekh Platinum Ltd.</v>
          </cell>
        </row>
        <row r="355">
          <cell r="B355" t="str">
            <v>Parke Davis (India) Ltd.</v>
          </cell>
        </row>
        <row r="356">
          <cell r="B356" t="str">
            <v>Pentamedia Graphics Ltd.</v>
          </cell>
        </row>
        <row r="357">
          <cell r="B357" t="str">
            <v>Pentasoft Technologies Ltd.</v>
          </cell>
        </row>
        <row r="358">
          <cell r="B358" t="str">
            <v>Pfizer Ltd.</v>
          </cell>
        </row>
        <row r="359">
          <cell r="B359" t="str">
            <v>Pharmacia Healthcare Ltd.</v>
          </cell>
        </row>
        <row r="360">
          <cell r="B360" t="str">
            <v>Philips India Ltd.</v>
          </cell>
        </row>
        <row r="361">
          <cell r="B361" t="str">
            <v>Pidilite Industries Ltd.</v>
          </cell>
        </row>
        <row r="362">
          <cell r="B362" t="str">
            <v>PNB Gilts Ltd.</v>
          </cell>
        </row>
        <row r="363">
          <cell r="B363" t="str">
            <v>Polaris Software Lab Ltd.</v>
          </cell>
        </row>
        <row r="364">
          <cell r="B364" t="str">
            <v>Prism Cement Ltd.</v>
          </cell>
        </row>
        <row r="365">
          <cell r="B365" t="str">
            <v>Priyadarshini Cement Ltd.</v>
          </cell>
        </row>
        <row r="366">
          <cell r="B366" t="str">
            <v>Procter &amp; Gamble Hygiene &amp; Health Care Ltd.</v>
          </cell>
        </row>
        <row r="367">
          <cell r="B367" t="str">
            <v>PSI Data Systems Ltd.</v>
          </cell>
        </row>
        <row r="368">
          <cell r="B368" t="str">
            <v>PSL Holdings Ltd.</v>
          </cell>
        </row>
        <row r="369">
          <cell r="B369" t="str">
            <v>Punjab Anand Lamp Industries Ltd.</v>
          </cell>
        </row>
        <row r="370">
          <cell r="B370" t="str">
            <v>Punjab Communications Ltd.</v>
          </cell>
        </row>
        <row r="371">
          <cell r="B371" t="str">
            <v>Punjab National Bank</v>
          </cell>
        </row>
        <row r="372">
          <cell r="B372" t="str">
            <v>Punjab Tractors Ltd.</v>
          </cell>
        </row>
        <row r="373">
          <cell r="B373" t="str">
            <v>R S Software India Ltd.</v>
          </cell>
        </row>
        <row r="374">
          <cell r="B374" t="str">
            <v>Rain Calcining Ltd.</v>
          </cell>
        </row>
        <row r="375">
          <cell r="B375" t="str">
            <v>Rallis India Ltd.</v>
          </cell>
        </row>
        <row r="376">
          <cell r="B376" t="str">
            <v>Rama Newsprint &amp; Papers Ltd.</v>
          </cell>
        </row>
        <row r="377">
          <cell r="B377" t="str">
            <v>Ramco Systems Ltd.</v>
          </cell>
        </row>
        <row r="378">
          <cell r="B378" t="str">
            <v>Ranbaxy Laboratories Ltd.</v>
          </cell>
        </row>
        <row r="379">
          <cell r="B379" t="str">
            <v>Rashtriya Chemicals &amp; Fertilizers Ltd.</v>
          </cell>
        </row>
        <row r="380">
          <cell r="B380" t="str">
            <v>Rayban Sun Optics India Ltd.</v>
          </cell>
        </row>
        <row r="381">
          <cell r="B381" t="str">
            <v>Raymond Ltd.</v>
          </cell>
        </row>
        <row r="382">
          <cell r="B382" t="str">
            <v>Reliance Capital Ltd.</v>
          </cell>
        </row>
        <row r="383">
          <cell r="B383" t="str">
            <v>Reliance Industrial Infrastructure</v>
          </cell>
        </row>
        <row r="384">
          <cell r="B384" t="str">
            <v>Reliance Industries Ltd.</v>
          </cell>
        </row>
        <row r="385">
          <cell r="B385" t="str">
            <v>Revathi Equipment Ltd.</v>
          </cell>
        </row>
        <row r="386">
          <cell r="B386" t="str">
            <v>Rolta India Ltd.</v>
          </cell>
        </row>
        <row r="387">
          <cell r="B387" t="str">
            <v>Roofit Industries Ltd.</v>
          </cell>
        </row>
        <row r="388">
          <cell r="B388" t="str">
            <v>RPG Cables Ltd.</v>
          </cell>
        </row>
        <row r="389">
          <cell r="B389" t="str">
            <v>RPG Life Sciences Ltd.</v>
          </cell>
        </row>
        <row r="390">
          <cell r="B390" t="str">
            <v>Ruchi Soya Industries Ltd.</v>
          </cell>
        </row>
        <row r="391">
          <cell r="B391" t="str">
            <v>Saint-Gobain Sekurit India Ltd.</v>
          </cell>
        </row>
        <row r="392">
          <cell r="B392" t="str">
            <v>Salora International Ltd.</v>
          </cell>
        </row>
        <row r="393">
          <cell r="B393" t="str">
            <v>Samtel Colour Ltd.</v>
          </cell>
        </row>
        <row r="394">
          <cell r="B394" t="str">
            <v>Saregama India Ltd.</v>
          </cell>
        </row>
        <row r="395">
          <cell r="B395" t="str">
            <v>Satyam Computer Services Ltd.</v>
          </cell>
        </row>
        <row r="396">
          <cell r="B396" t="str">
            <v>Saw Pipes Ltd.</v>
          </cell>
        </row>
        <row r="397">
          <cell r="B397" t="str">
            <v>Sesa Goa Ltd.</v>
          </cell>
        </row>
        <row r="398">
          <cell r="B398" t="str">
            <v>Shasun Chemicals And Drugs Ltd.</v>
          </cell>
        </row>
        <row r="399">
          <cell r="B399" t="str">
            <v>Shaw Wallace &amp; Co. Ltd.</v>
          </cell>
        </row>
        <row r="400">
          <cell r="B400" t="str">
            <v>Shipping Corporation Of India Ltd.</v>
          </cell>
        </row>
        <row r="401">
          <cell r="B401" t="str">
            <v>Shree Cements Ltd.</v>
          </cell>
        </row>
        <row r="402">
          <cell r="B402" t="str">
            <v>Shree Rama Multi-tech Ltd.</v>
          </cell>
        </row>
        <row r="403">
          <cell r="B403" t="str">
            <v>Shyam Telecom Ltd.</v>
          </cell>
        </row>
        <row r="404">
          <cell r="B404" t="str">
            <v>Siemens Ltd.</v>
          </cell>
        </row>
        <row r="405">
          <cell r="B405" t="str">
            <v>Siltap Chemicals Ltd.</v>
          </cell>
        </row>
        <row r="406">
          <cell r="B406" t="str">
            <v>Silverline Technologies Ltd.</v>
          </cell>
        </row>
        <row r="407">
          <cell r="B407" t="str">
            <v>Skanska Cementation India Ltd.</v>
          </cell>
        </row>
        <row r="408">
          <cell r="B408" t="str">
            <v>SKF Bearings (India) Ltd.</v>
          </cell>
        </row>
        <row r="409">
          <cell r="B409" t="str">
            <v>Snowcem India Ltd.</v>
          </cell>
        </row>
        <row r="410">
          <cell r="B410" t="str">
            <v>Solectron Centum Electronics Ltd.</v>
          </cell>
        </row>
        <row r="411">
          <cell r="B411" t="str">
            <v>Sonata Software Ltd.</v>
          </cell>
        </row>
        <row r="412">
          <cell r="B412" t="str">
            <v>Southern Petrochemicals</v>
          </cell>
        </row>
        <row r="413">
          <cell r="B413" t="str">
            <v>SRF Ltd.</v>
          </cell>
        </row>
        <row r="414">
          <cell r="B414" t="str">
            <v>Sri Adhikari Brothers Television Network</v>
          </cell>
        </row>
        <row r="415">
          <cell r="B415" t="str">
            <v>SSI Ltd.</v>
          </cell>
        </row>
        <row r="416">
          <cell r="B416" t="str">
            <v>State Bank Of India</v>
          </cell>
        </row>
        <row r="417">
          <cell r="B417" t="str">
            <v>Steel Authority of India Ltd.</v>
          </cell>
        </row>
        <row r="418">
          <cell r="B418" t="str">
            <v>Sterling Biotech Ltd.</v>
          </cell>
        </row>
        <row r="419">
          <cell r="B419" t="str">
            <v>Sterlite Optical Technoligies Ltd.</v>
          </cell>
        </row>
        <row r="420">
          <cell r="B420" t="str">
            <v>Subex Systems Ltd.</v>
          </cell>
        </row>
        <row r="421">
          <cell r="B421" t="str">
            <v>Sun Earth Ceramics Ltd.</v>
          </cell>
        </row>
        <row r="422">
          <cell r="B422" t="str">
            <v>Sun Pharmaceutical Industries Ltd.</v>
          </cell>
        </row>
        <row r="423">
          <cell r="B423" t="str">
            <v>Sundaram Clayton Ltd.</v>
          </cell>
        </row>
        <row r="424">
          <cell r="B424" t="str">
            <v>Sundram Fasteners Ltd.</v>
          </cell>
        </row>
        <row r="425">
          <cell r="B425" t="str">
            <v>Supreme Industries Ltd.</v>
          </cell>
        </row>
        <row r="426">
          <cell r="B426" t="str">
            <v>Supreme Petrochem Ltd.</v>
          </cell>
        </row>
        <row r="427">
          <cell r="B427" t="str">
            <v>Su-raj Diamonds and Jewellery Ltd.</v>
          </cell>
        </row>
        <row r="428">
          <cell r="B428" t="str">
            <v>Suven Pharmaceuticals Ltd.</v>
          </cell>
        </row>
        <row r="429">
          <cell r="B429" t="str">
            <v>Swaraj Engines Ltd.</v>
          </cell>
        </row>
        <row r="430">
          <cell r="B430" t="str">
            <v>Swaraj Mazda Ltd.</v>
          </cell>
        </row>
        <row r="431">
          <cell r="B431" t="str">
            <v>Syngenta India Ltd.</v>
          </cell>
        </row>
        <row r="432">
          <cell r="B432" t="str">
            <v>Tamil Nadu Newsprint And Papers Ltd.</v>
          </cell>
        </row>
        <row r="433">
          <cell r="B433" t="str">
            <v>Tamilnadu Petroproducts Ltd.</v>
          </cell>
        </row>
        <row r="434">
          <cell r="B434" t="str">
            <v>Tata Chemicals Ltd.</v>
          </cell>
        </row>
        <row r="435">
          <cell r="B435" t="str">
            <v>Tata Elxsi Ltd.</v>
          </cell>
        </row>
        <row r="436">
          <cell r="B436" t="str">
            <v>Tata Engg. &amp; Loco. Co. Ltd.</v>
          </cell>
        </row>
        <row r="437">
          <cell r="B437" t="str">
            <v>Tata Finance Ltd.</v>
          </cell>
        </row>
        <row r="438">
          <cell r="B438" t="str">
            <v>Tata Honeywell Ltd.</v>
          </cell>
        </row>
        <row r="439">
          <cell r="B439" t="str">
            <v>Tata Infomedia Ltd.</v>
          </cell>
        </row>
        <row r="440">
          <cell r="B440" t="str">
            <v>Tata Infotech Ltd.</v>
          </cell>
        </row>
        <row r="441">
          <cell r="B441" t="str">
            <v>Tata Investment Corporation Ltd.</v>
          </cell>
        </row>
        <row r="442">
          <cell r="B442" t="str">
            <v>Tata Iron &amp; Steel Co. Ltd.</v>
          </cell>
        </row>
        <row r="443">
          <cell r="B443" t="str">
            <v>Tata Power Co. Ltd.</v>
          </cell>
        </row>
        <row r="444">
          <cell r="B444" t="str">
            <v>Tata Tea Ltd.</v>
          </cell>
        </row>
        <row r="445">
          <cell r="B445" t="str">
            <v>Tata Telecom Ltd.</v>
          </cell>
        </row>
        <row r="446">
          <cell r="B446" t="str">
            <v>Tata Teleservices (Maharashtra) Ltd.</v>
          </cell>
        </row>
        <row r="447">
          <cell r="B447" t="str">
            <v>Television Eighteen India Ltd.</v>
          </cell>
        </row>
        <row r="448">
          <cell r="B448" t="str">
            <v>Thermax Ltd.</v>
          </cell>
        </row>
        <row r="449">
          <cell r="B449" t="str">
            <v>Thirumalai Chemicals Ltd.</v>
          </cell>
        </row>
        <row r="450">
          <cell r="B450" t="str">
            <v>Thomas Cook (India) Ltd.</v>
          </cell>
        </row>
        <row r="451">
          <cell r="B451" t="str">
            <v>Timex Watches Ltd.</v>
          </cell>
        </row>
        <row r="452">
          <cell r="B452" t="str">
            <v>Timken India Ltd.</v>
          </cell>
        </row>
        <row r="453">
          <cell r="B453" t="str">
            <v>Tips Industries Ltd.</v>
          </cell>
        </row>
        <row r="454">
          <cell r="B454" t="str">
            <v>Titan Industries Ltd.</v>
          </cell>
        </row>
        <row r="455">
          <cell r="B455" t="str">
            <v>Torrent Pharmaceuticals Ltd.</v>
          </cell>
        </row>
        <row r="456">
          <cell r="B456" t="str">
            <v>Tourism Finance Corpn. Of India Ltd.</v>
          </cell>
        </row>
        <row r="457">
          <cell r="B457" t="str">
            <v>Trent Ltd.</v>
          </cell>
        </row>
        <row r="458">
          <cell r="B458" t="str">
            <v>Trigyn Technologies Ltd.</v>
          </cell>
        </row>
        <row r="459">
          <cell r="B459" t="str">
            <v>Tube Investments of India Ltd.</v>
          </cell>
        </row>
        <row r="460">
          <cell r="B460" t="str">
            <v>TVS Electronics Ltd.</v>
          </cell>
        </row>
        <row r="461">
          <cell r="B461" t="str">
            <v>TVS Motor Company Ltd.</v>
          </cell>
        </row>
        <row r="462">
          <cell r="B462" t="str">
            <v>Ultramarine &amp; Pigments Ltd.</v>
          </cell>
        </row>
        <row r="463">
          <cell r="B463" t="str">
            <v>Unichem Laboratories Ltd.</v>
          </cell>
        </row>
        <row r="464">
          <cell r="B464" t="str">
            <v>Union Bank of India</v>
          </cell>
        </row>
        <row r="465">
          <cell r="B465" t="str">
            <v>Unitech Ltd.</v>
          </cell>
        </row>
        <row r="466">
          <cell r="B466" t="str">
            <v>United Breweries Ltd.</v>
          </cell>
        </row>
        <row r="467">
          <cell r="B467" t="str">
            <v>United Phosphorus Ltd.</v>
          </cell>
        </row>
        <row r="468">
          <cell r="B468" t="str">
            <v>Usha Beltron Ltd.</v>
          </cell>
        </row>
        <row r="469">
          <cell r="B469" t="str">
            <v>UTI Bank Ltd.</v>
          </cell>
        </row>
        <row r="470">
          <cell r="B470" t="str">
            <v>V.I.P. Industries Ltd.</v>
          </cell>
        </row>
        <row r="471">
          <cell r="B471" t="str">
            <v>Vardhaman Spinning &amp; Gen. Mills Ltd.</v>
          </cell>
        </row>
        <row r="472">
          <cell r="B472" t="str">
            <v>Varun Shipping Co. Ltd.</v>
          </cell>
        </row>
        <row r="473">
          <cell r="B473" t="str">
            <v>Vashisti Detergents Ltd.</v>
          </cell>
        </row>
        <row r="474">
          <cell r="B474" t="str">
            <v>Venkys (India) Ltd.</v>
          </cell>
        </row>
        <row r="475">
          <cell r="B475" t="str">
            <v>Vesuvius India Ltd.</v>
          </cell>
        </row>
        <row r="476">
          <cell r="B476" t="str">
            <v>Videocon Appliances Ltd.</v>
          </cell>
        </row>
        <row r="477">
          <cell r="B477" t="str">
            <v>Videocon International Ltd.</v>
          </cell>
        </row>
        <row r="478">
          <cell r="B478" t="str">
            <v>Videsh Sanchar Nigam Ltd.</v>
          </cell>
        </row>
        <row r="479">
          <cell r="B479" t="str">
            <v>Vikas WSP Ltd.</v>
          </cell>
        </row>
        <row r="480">
          <cell r="B480" t="str">
            <v>Vindhya Telelinks Ltd.</v>
          </cell>
        </row>
        <row r="481">
          <cell r="B481" t="str">
            <v>Visualsoft Technologies Ltd.</v>
          </cell>
        </row>
        <row r="482">
          <cell r="B482" t="str">
            <v>Voltas Ltd.</v>
          </cell>
        </row>
        <row r="483">
          <cell r="B483" t="str">
            <v>VST Industries Ltd.</v>
          </cell>
        </row>
        <row r="484">
          <cell r="B484" t="str">
            <v>Vysya Bank Ltd.</v>
          </cell>
        </row>
        <row r="485">
          <cell r="B485" t="str">
            <v>Warren Tea Ltd.</v>
          </cell>
        </row>
        <row r="486">
          <cell r="B486" t="str">
            <v>Wartsila India Ltd.</v>
          </cell>
        </row>
        <row r="487">
          <cell r="B487" t="str">
            <v>Welspun -Gujarat Stahl Rohren Ltd.</v>
          </cell>
        </row>
        <row r="488">
          <cell r="B488" t="str">
            <v>Welspun India Ltd.</v>
          </cell>
        </row>
        <row r="489">
          <cell r="B489" t="str">
            <v>Whirlpool of India Ltd.</v>
          </cell>
        </row>
        <row r="490">
          <cell r="B490" t="str">
            <v>Widia (india) Ltd.</v>
          </cell>
        </row>
        <row r="491">
          <cell r="B491" t="str">
            <v>Wimco Ltd.</v>
          </cell>
        </row>
        <row r="492">
          <cell r="B492" t="str">
            <v>Wipro Ltd.</v>
          </cell>
        </row>
        <row r="493">
          <cell r="B493" t="str">
            <v>Wockhardt Life Sciences Ltd.</v>
          </cell>
        </row>
        <row r="494">
          <cell r="B494" t="str">
            <v>Wockhardt Ltd.</v>
          </cell>
        </row>
        <row r="495">
          <cell r="B495" t="str">
            <v>Wyeth Lederle Ltd.</v>
          </cell>
        </row>
        <row r="496">
          <cell r="B496" t="str">
            <v>Yokogawa Blue Star Ltd.</v>
          </cell>
        </row>
        <row r="497">
          <cell r="B497" t="str">
            <v>Zandu Pharmaceuticals Works Ltd.</v>
          </cell>
        </row>
        <row r="498">
          <cell r="B498" t="str">
            <v>Zee Telefilms Ltd.</v>
          </cell>
        </row>
        <row r="499">
          <cell r="B499" t="str">
            <v>Zensar Technologies Ltd.</v>
          </cell>
        </row>
        <row r="500">
          <cell r="B500" t="str">
            <v>Zuari Industries Ltd.</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ILDING"/>
      <sheetName val="PLANT MACHINERY"/>
      <sheetName val="FURNITURE"/>
      <sheetName val="VEHICLE"/>
      <sheetName val="ASSET_ADD"/>
      <sheetName val="Asset Schedule"/>
      <sheetName val="ASSET_SCHEDULE Tiljala"/>
      <sheetName val="L"/>
    </sheetNames>
    <sheetDataSet>
      <sheetData sheetId="0"/>
      <sheetData sheetId="1"/>
      <sheetData sheetId="2"/>
      <sheetData sheetId="3"/>
      <sheetData sheetId="4"/>
      <sheetData sheetId="5"/>
      <sheetData sheetId="6"/>
      <sheetData sheetId="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ed Parties"/>
      <sheetName val="P&amp;L"/>
      <sheetName val="BS"/>
      <sheetName val="VARIANCE ANALYSIS "/>
      <sheetName val="Sch 1-4"/>
      <sheetName val="Sch-5"/>
      <sheetName val="Sch-6-11"/>
      <sheetName val="Sch 12 &amp;13"/>
      <sheetName val="P&amp;L Sch 14-16"/>
      <sheetName val="P&amp;L Sch 17-19"/>
      <sheetName val="Data Entry"/>
      <sheetName val="TRIAL BALANCE (2)"/>
      <sheetName val="TRIAL BALANCE"/>
      <sheetName val="TB Download"/>
      <sheetName val="TBdownload-2002"/>
      <sheetName val="CC wise Download"/>
      <sheetName val="SIF P&amp;L BS"/>
      <sheetName val="SIF P&amp;L"/>
      <sheetName val="SIF Workings"/>
      <sheetName val="SIF Results Back up"/>
      <sheetName val="PROVISIONS"/>
      <sheetName val="Pl-Incl"/>
      <sheetName val="pl-Excl"/>
      <sheetName val="sch-I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it97"/>
      <sheetName val="DEPIT979"/>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erian Jvmar06"/>
      <sheetName val="BS"/>
      <sheetName val="cashflow"/>
      <sheetName val="PL"/>
      <sheetName val="Schedules"/>
      <sheetName val="FA schedule"/>
      <sheetName val="Sch22"/>
      <sheetName val="Inv"/>
      <sheetName val="BS sub sh"/>
      <sheetName val="Invest. thousand"/>
      <sheetName val="Investments"/>
      <sheetName val="pubres"/>
      <sheetName val="Sheet1"/>
      <sheetName val="Income"/>
      <sheetName val="Exp"/>
      <sheetName val="Leave encashement"/>
      <sheetName val="TB APJ"/>
      <sheetName val="Variance"/>
      <sheetName val="vari-1"/>
      <sheetName val="TB WORLI"/>
      <sheetName val="deftax"/>
      <sheetName val="Quar ABNL"/>
      <sheetName val="it depr."/>
      <sheetName val="FASCHEDULE"/>
      <sheetName val="G SecST&amp;LT "/>
      <sheetName val="itcomp"/>
      <sheetName val="ratio analysis"/>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48">
          <cell r="B48">
            <v>0</v>
          </cell>
        </row>
        <row r="109">
          <cell r="B109">
            <v>-100000</v>
          </cell>
        </row>
        <row r="125">
          <cell r="B125">
            <v>0</v>
          </cell>
        </row>
        <row r="131">
          <cell r="B131">
            <v>-37516</v>
          </cell>
        </row>
      </sheetData>
      <sheetData sheetId="17" refreshError="1"/>
      <sheetData sheetId="18" refreshError="1"/>
      <sheetData sheetId="19">
        <row r="8">
          <cell r="B8">
            <v>-21000</v>
          </cell>
        </row>
        <row r="18">
          <cell r="B18">
            <v>0</v>
          </cell>
        </row>
        <row r="22">
          <cell r="B22">
            <v>0</v>
          </cell>
        </row>
        <row r="23">
          <cell r="B23">
            <v>0</v>
          </cell>
        </row>
        <row r="33">
          <cell r="B33">
            <v>158708</v>
          </cell>
        </row>
        <row r="43">
          <cell r="B43">
            <v>-71843</v>
          </cell>
        </row>
      </sheetData>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erian Jvmar06"/>
      <sheetName val="BS"/>
      <sheetName val="cashflow"/>
      <sheetName val="PL"/>
      <sheetName val="Schedules"/>
      <sheetName val="FA schedule"/>
      <sheetName val="Sch22"/>
      <sheetName val="BS sub sh"/>
      <sheetName val="Invest. thousand"/>
      <sheetName val="Investments"/>
      <sheetName val="pubres"/>
      <sheetName val="Sheet1"/>
      <sheetName val="Income"/>
      <sheetName val="Exp"/>
      <sheetName val="Leave encashement"/>
      <sheetName val="TB APJ"/>
      <sheetName val="TB WORLI"/>
      <sheetName val="deftax"/>
      <sheetName val="Quar ABNL"/>
      <sheetName val="it depr."/>
      <sheetName val="FASCHEDULE"/>
      <sheetName val="G SecST&amp;LT "/>
      <sheetName val="itcomp"/>
      <sheetName val="ratio 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7">
          <cell r="B7">
            <v>223033</v>
          </cell>
        </row>
        <row r="8">
          <cell r="B8">
            <v>-14075776</v>
          </cell>
        </row>
        <row r="9">
          <cell r="B9">
            <v>-3626817</v>
          </cell>
        </row>
        <row r="10">
          <cell r="B10">
            <v>1</v>
          </cell>
        </row>
        <row r="11">
          <cell r="B11">
            <v>1024285</v>
          </cell>
        </row>
        <row r="12">
          <cell r="B12">
            <v>-1187413</v>
          </cell>
        </row>
        <row r="13">
          <cell r="B13">
            <v>16168</v>
          </cell>
        </row>
        <row r="16">
          <cell r="B16">
            <v>34700058</v>
          </cell>
        </row>
        <row r="17">
          <cell r="B17">
            <v>5266138</v>
          </cell>
        </row>
        <row r="20">
          <cell r="B20">
            <v>0</v>
          </cell>
        </row>
        <row r="21">
          <cell r="B21">
            <v>0</v>
          </cell>
        </row>
        <row r="22">
          <cell r="B22">
            <v>100</v>
          </cell>
        </row>
        <row r="23">
          <cell r="B23">
            <v>29874</v>
          </cell>
        </row>
        <row r="25">
          <cell r="B25">
            <v>16450</v>
          </cell>
        </row>
        <row r="26">
          <cell r="B26">
            <v>12371</v>
          </cell>
        </row>
        <row r="27">
          <cell r="B27">
            <v>0</v>
          </cell>
        </row>
        <row r="28">
          <cell r="B28">
            <v>41076</v>
          </cell>
        </row>
        <row r="29">
          <cell r="B29">
            <v>4060</v>
          </cell>
        </row>
        <row r="31">
          <cell r="B31">
            <v>3619772</v>
          </cell>
        </row>
        <row r="32">
          <cell r="B32">
            <v>97</v>
          </cell>
        </row>
        <row r="34">
          <cell r="B34">
            <v>6193912</v>
          </cell>
        </row>
        <row r="36">
          <cell r="B36">
            <v>-131</v>
          </cell>
        </row>
        <row r="37">
          <cell r="B37">
            <v>0</v>
          </cell>
        </row>
        <row r="38">
          <cell r="B38">
            <v>65277</v>
          </cell>
        </row>
        <row r="39">
          <cell r="B39">
            <v>-7184</v>
          </cell>
        </row>
        <row r="40">
          <cell r="B40">
            <v>90000</v>
          </cell>
        </row>
        <row r="41">
          <cell r="B41">
            <v>7688110</v>
          </cell>
        </row>
        <row r="42">
          <cell r="B42">
            <v>60119</v>
          </cell>
        </row>
        <row r="43">
          <cell r="B43">
            <v>0</v>
          </cell>
        </row>
        <row r="44">
          <cell r="B44">
            <v>1701</v>
          </cell>
        </row>
        <row r="45">
          <cell r="B45">
            <v>4000</v>
          </cell>
        </row>
        <row r="46">
          <cell r="B46">
            <v>22478</v>
          </cell>
        </row>
        <row r="47">
          <cell r="B47">
            <v>642021383</v>
          </cell>
        </row>
        <row r="48">
          <cell r="B48">
            <v>98610542</v>
          </cell>
        </row>
        <row r="49">
          <cell r="B49">
            <v>555957</v>
          </cell>
        </row>
        <row r="50">
          <cell r="B50">
            <v>158887121</v>
          </cell>
        </row>
        <row r="51">
          <cell r="B51">
            <v>24487685</v>
          </cell>
        </row>
        <row r="52">
          <cell r="B52">
            <v>1407218</v>
          </cell>
        </row>
        <row r="53">
          <cell r="B53">
            <v>60153</v>
          </cell>
        </row>
        <row r="54">
          <cell r="B54">
            <v>89830</v>
          </cell>
        </row>
        <row r="55">
          <cell r="B55">
            <v>82901</v>
          </cell>
        </row>
        <row r="56">
          <cell r="B56">
            <v>25245532</v>
          </cell>
        </row>
        <row r="57">
          <cell r="B57">
            <v>0</v>
          </cell>
        </row>
        <row r="58">
          <cell r="B58">
            <v>15000000</v>
          </cell>
        </row>
        <row r="59">
          <cell r="B59">
            <v>7549</v>
          </cell>
        </row>
        <row r="60">
          <cell r="B60">
            <v>0</v>
          </cell>
        </row>
        <row r="61">
          <cell r="B61">
            <v>7133</v>
          </cell>
        </row>
        <row r="63">
          <cell r="B63">
            <v>0</v>
          </cell>
        </row>
        <row r="64">
          <cell r="B64">
            <v>58788</v>
          </cell>
        </row>
        <row r="65">
          <cell r="B65">
            <v>863466</v>
          </cell>
        </row>
        <row r="67">
          <cell r="B67">
            <v>524581</v>
          </cell>
        </row>
        <row r="68">
          <cell r="B68">
            <v>1748476</v>
          </cell>
        </row>
        <row r="69">
          <cell r="B69">
            <v>9222968</v>
          </cell>
        </row>
        <row r="70">
          <cell r="B70">
            <v>18292</v>
          </cell>
        </row>
        <row r="71">
          <cell r="B71">
            <v>185709</v>
          </cell>
        </row>
        <row r="72">
          <cell r="B72">
            <v>280000</v>
          </cell>
        </row>
        <row r="73">
          <cell r="B73">
            <v>95861</v>
          </cell>
        </row>
        <row r="74">
          <cell r="B74">
            <v>2767500</v>
          </cell>
        </row>
        <row r="75">
          <cell r="B75">
            <v>990216</v>
          </cell>
        </row>
        <row r="76">
          <cell r="B76">
            <v>73089853</v>
          </cell>
        </row>
        <row r="77">
          <cell r="B77">
            <v>215507</v>
          </cell>
        </row>
        <row r="78">
          <cell r="B78">
            <v>12443423</v>
          </cell>
        </row>
        <row r="79">
          <cell r="B79">
            <v>307410</v>
          </cell>
        </row>
        <row r="80">
          <cell r="B80">
            <v>11896</v>
          </cell>
        </row>
        <row r="81">
          <cell r="B81">
            <v>2056613</v>
          </cell>
        </row>
        <row r="83">
          <cell r="B83">
            <v>13844</v>
          </cell>
        </row>
        <row r="84">
          <cell r="B84">
            <v>2500</v>
          </cell>
        </row>
        <row r="85">
          <cell r="B85">
            <v>819146</v>
          </cell>
        </row>
        <row r="86">
          <cell r="B86">
            <v>105832</v>
          </cell>
        </row>
        <row r="87">
          <cell r="B87">
            <v>75314592</v>
          </cell>
        </row>
        <row r="88">
          <cell r="B88">
            <v>7784730</v>
          </cell>
        </row>
        <row r="89">
          <cell r="B89">
            <v>70000</v>
          </cell>
        </row>
        <row r="90">
          <cell r="B90">
            <v>2312914</v>
          </cell>
        </row>
        <row r="91">
          <cell r="B91">
            <v>463966</v>
          </cell>
        </row>
        <row r="92">
          <cell r="B92">
            <v>829235</v>
          </cell>
        </row>
        <row r="93">
          <cell r="B93">
            <v>663771</v>
          </cell>
        </row>
        <row r="94">
          <cell r="B94">
            <v>427226</v>
          </cell>
        </row>
        <row r="95">
          <cell r="B95">
            <v>59205</v>
          </cell>
        </row>
        <row r="96">
          <cell r="B96">
            <v>55228</v>
          </cell>
        </row>
        <row r="97">
          <cell r="B97">
            <v>1095106</v>
          </cell>
        </row>
        <row r="98">
          <cell r="B98">
            <v>19715</v>
          </cell>
        </row>
        <row r="99">
          <cell r="B99">
            <v>733246</v>
          </cell>
        </row>
        <row r="100">
          <cell r="B100">
            <v>12221</v>
          </cell>
        </row>
        <row r="101">
          <cell r="B101">
            <v>2180155</v>
          </cell>
        </row>
        <row r="102">
          <cell r="B102">
            <v>1282947</v>
          </cell>
        </row>
        <row r="103">
          <cell r="B103">
            <v>1207633</v>
          </cell>
        </row>
        <row r="104">
          <cell r="B104">
            <v>67847</v>
          </cell>
        </row>
        <row r="105">
          <cell r="B105">
            <v>5134259</v>
          </cell>
        </row>
        <row r="106">
          <cell r="B106">
            <v>118000</v>
          </cell>
        </row>
        <row r="107">
          <cell r="B107">
            <v>2500000</v>
          </cell>
        </row>
        <row r="108">
          <cell r="B108">
            <v>51871</v>
          </cell>
        </row>
        <row r="109">
          <cell r="B109">
            <v>1021478</v>
          </cell>
        </row>
        <row r="110">
          <cell r="B110">
            <v>1599610</v>
          </cell>
        </row>
        <row r="111">
          <cell r="B111">
            <v>1428403</v>
          </cell>
        </row>
        <row r="112">
          <cell r="B112">
            <v>860</v>
          </cell>
        </row>
        <row r="113">
          <cell r="B113">
            <v>2069</v>
          </cell>
        </row>
        <row r="114">
          <cell r="B114">
            <v>1437125</v>
          </cell>
        </row>
        <row r="115">
          <cell r="B115">
            <v>143406</v>
          </cell>
        </row>
        <row r="116">
          <cell r="B116">
            <v>0</v>
          </cell>
        </row>
        <row r="117">
          <cell r="B117">
            <v>2354001</v>
          </cell>
        </row>
        <row r="118">
          <cell r="B118">
            <v>322353</v>
          </cell>
        </row>
        <row r="119">
          <cell r="B119">
            <v>27695497</v>
          </cell>
        </row>
        <row r="120">
          <cell r="B120">
            <v>3462703</v>
          </cell>
        </row>
        <row r="121">
          <cell r="B121">
            <v>1063728</v>
          </cell>
        </row>
        <row r="122">
          <cell r="B122">
            <v>698981</v>
          </cell>
        </row>
        <row r="123">
          <cell r="B123">
            <v>5946304</v>
          </cell>
        </row>
        <row r="124">
          <cell r="B124">
            <v>86375</v>
          </cell>
        </row>
        <row r="125">
          <cell r="B125">
            <v>178221</v>
          </cell>
        </row>
        <row r="126">
          <cell r="B126">
            <v>42477</v>
          </cell>
        </row>
        <row r="127">
          <cell r="B127">
            <v>16044</v>
          </cell>
        </row>
        <row r="128">
          <cell r="B128">
            <v>991671</v>
          </cell>
        </row>
        <row r="129">
          <cell r="B129">
            <v>49625</v>
          </cell>
        </row>
        <row r="130">
          <cell r="B130">
            <v>71929</v>
          </cell>
        </row>
        <row r="131">
          <cell r="B131">
            <v>500000</v>
          </cell>
        </row>
        <row r="132">
          <cell r="B132">
            <v>14372</v>
          </cell>
        </row>
        <row r="133">
          <cell r="B133">
            <v>159378</v>
          </cell>
        </row>
        <row r="134">
          <cell r="B134">
            <v>1234528</v>
          </cell>
        </row>
        <row r="135">
          <cell r="B135">
            <v>118222</v>
          </cell>
        </row>
        <row r="136">
          <cell r="B136">
            <v>843583</v>
          </cell>
        </row>
        <row r="137">
          <cell r="B137">
            <v>1012608</v>
          </cell>
        </row>
        <row r="138">
          <cell r="B138">
            <v>11495433</v>
          </cell>
        </row>
        <row r="139">
          <cell r="B139">
            <v>76450</v>
          </cell>
        </row>
        <row r="140">
          <cell r="B140">
            <v>3411</v>
          </cell>
        </row>
        <row r="141">
          <cell r="B141">
            <v>600396</v>
          </cell>
        </row>
        <row r="142">
          <cell r="B142">
            <v>1799691</v>
          </cell>
        </row>
        <row r="143">
          <cell r="B143">
            <v>3885</v>
          </cell>
        </row>
        <row r="144">
          <cell r="B144">
            <v>1148942</v>
          </cell>
        </row>
        <row r="145">
          <cell r="B145">
            <v>0</v>
          </cell>
        </row>
        <row r="146">
          <cell r="B146">
            <v>13475</v>
          </cell>
        </row>
        <row r="147">
          <cell r="B147">
            <v>-118615</v>
          </cell>
        </row>
        <row r="148">
          <cell r="B148">
            <v>-2159187</v>
          </cell>
        </row>
        <row r="149">
          <cell r="B149">
            <v>-632184</v>
          </cell>
        </row>
        <row r="150">
          <cell r="B150">
            <v>-2250000</v>
          </cell>
        </row>
        <row r="151">
          <cell r="B151">
            <v>-11967</v>
          </cell>
        </row>
        <row r="152">
          <cell r="B152">
            <v>-361641</v>
          </cell>
        </row>
        <row r="153">
          <cell r="B153">
            <v>-6446036</v>
          </cell>
        </row>
        <row r="154">
          <cell r="B154">
            <v>-761774</v>
          </cell>
        </row>
        <row r="155">
          <cell r="B155">
            <v>-22500431</v>
          </cell>
        </row>
        <row r="156">
          <cell r="B156">
            <v>-8570</v>
          </cell>
        </row>
        <row r="157">
          <cell r="B157">
            <v>-148856</v>
          </cell>
        </row>
        <row r="158">
          <cell r="B158">
            <v>-4864844</v>
          </cell>
        </row>
        <row r="159">
          <cell r="B159">
            <v>-61792</v>
          </cell>
        </row>
        <row r="160">
          <cell r="B160">
            <v>-41825000</v>
          </cell>
        </row>
        <row r="161">
          <cell r="B161">
            <v>-392910</v>
          </cell>
        </row>
        <row r="162">
          <cell r="B162">
            <v>-37828192</v>
          </cell>
        </row>
        <row r="163">
          <cell r="B163">
            <v>-30311</v>
          </cell>
        </row>
        <row r="164">
          <cell r="B164">
            <v>-1610112</v>
          </cell>
        </row>
        <row r="165">
          <cell r="B165">
            <v>-116726</v>
          </cell>
        </row>
        <row r="166">
          <cell r="B166">
            <v>-9278071</v>
          </cell>
        </row>
        <row r="167">
          <cell r="B167">
            <v>0</v>
          </cell>
        </row>
        <row r="168">
          <cell r="B168">
            <v>-197037552</v>
          </cell>
        </row>
        <row r="169">
          <cell r="B169">
            <v>-3218707</v>
          </cell>
        </row>
        <row r="170">
          <cell r="B170">
            <v>-8447</v>
          </cell>
        </row>
        <row r="171">
          <cell r="B171">
            <v>-2311023</v>
          </cell>
        </row>
        <row r="172">
          <cell r="B172">
            <v>296941</v>
          </cell>
        </row>
        <row r="173">
          <cell r="B173">
            <v>-675162</v>
          </cell>
        </row>
        <row r="174">
          <cell r="B174">
            <v>-601334</v>
          </cell>
        </row>
        <row r="175">
          <cell r="B175">
            <v>-143386</v>
          </cell>
        </row>
        <row r="176">
          <cell r="B176">
            <v>0</v>
          </cell>
        </row>
        <row r="177">
          <cell r="B177">
            <v>-18170540</v>
          </cell>
        </row>
        <row r="178">
          <cell r="B178">
            <v>0</v>
          </cell>
        </row>
        <row r="179">
          <cell r="B179">
            <v>-220120</v>
          </cell>
        </row>
        <row r="180">
          <cell r="B180">
            <v>116</v>
          </cell>
        </row>
        <row r="181">
          <cell r="B181">
            <v>-3500</v>
          </cell>
        </row>
        <row r="182">
          <cell r="B182">
            <v>-169978</v>
          </cell>
        </row>
        <row r="183">
          <cell r="B183">
            <v>-250000</v>
          </cell>
        </row>
        <row r="184">
          <cell r="B184">
            <v>-524634</v>
          </cell>
        </row>
        <row r="185">
          <cell r="B185">
            <v>-188932</v>
          </cell>
        </row>
        <row r="188">
          <cell r="B188">
            <v>-12715</v>
          </cell>
        </row>
        <row r="189">
          <cell r="B189">
            <v>-2970</v>
          </cell>
        </row>
        <row r="192">
          <cell r="B192">
            <v>0</v>
          </cell>
        </row>
        <row r="194">
          <cell r="B194">
            <v>-1437819</v>
          </cell>
        </row>
        <row r="195">
          <cell r="B195">
            <v>-7396</v>
          </cell>
        </row>
        <row r="199">
          <cell r="B199">
            <v>-9788065</v>
          </cell>
        </row>
        <row r="200">
          <cell r="B200">
            <v>712093462</v>
          </cell>
        </row>
        <row r="201">
          <cell r="B201">
            <v>-792759031</v>
          </cell>
        </row>
        <row r="202">
          <cell r="B202">
            <v>-750000000</v>
          </cell>
        </row>
        <row r="204">
          <cell r="B204">
            <v>54397</v>
          </cell>
        </row>
        <row r="205">
          <cell r="B205">
            <v>-3086589</v>
          </cell>
        </row>
        <row r="207">
          <cell r="B207">
            <v>17241</v>
          </cell>
        </row>
        <row r="208">
          <cell r="B208">
            <v>-31816</v>
          </cell>
        </row>
        <row r="209">
          <cell r="B209">
            <v>-5991</v>
          </cell>
        </row>
        <row r="210">
          <cell r="B210">
            <v>-62117</v>
          </cell>
        </row>
        <row r="211">
          <cell r="B211">
            <v>-194704</v>
          </cell>
        </row>
        <row r="212">
          <cell r="B212">
            <v>-6</v>
          </cell>
        </row>
        <row r="213">
          <cell r="B213">
            <v>-2158985</v>
          </cell>
        </row>
        <row r="214">
          <cell r="B214">
            <v>-80807</v>
          </cell>
        </row>
        <row r="215">
          <cell r="B215">
            <v>-746107</v>
          </cell>
        </row>
        <row r="216">
          <cell r="B216">
            <v>-15072000</v>
          </cell>
        </row>
        <row r="217">
          <cell r="B217">
            <v>-924996</v>
          </cell>
        </row>
        <row r="218">
          <cell r="B218">
            <v>-9047964</v>
          </cell>
        </row>
        <row r="219">
          <cell r="B219">
            <v>-400</v>
          </cell>
        </row>
        <row r="220">
          <cell r="B220">
            <v>-50552718</v>
          </cell>
        </row>
        <row r="221">
          <cell r="B221">
            <v>-3065277</v>
          </cell>
        </row>
        <row r="222">
          <cell r="B222">
            <v>0</v>
          </cell>
        </row>
        <row r="223">
          <cell r="B223">
            <v>-1135</v>
          </cell>
        </row>
        <row r="225">
          <cell r="B225">
            <v>-979763</v>
          </cell>
        </row>
      </sheetData>
      <sheetData sheetId="16" refreshError="1">
        <row r="5">
          <cell r="B5">
            <v>-63013</v>
          </cell>
        </row>
        <row r="6">
          <cell r="B6">
            <v>256892</v>
          </cell>
        </row>
        <row r="8">
          <cell r="B8">
            <v>89596</v>
          </cell>
        </row>
        <row r="10">
          <cell r="B10">
            <v>0</v>
          </cell>
        </row>
        <row r="13">
          <cell r="B13">
            <v>79876</v>
          </cell>
        </row>
        <row r="16">
          <cell r="B16">
            <v>56087</v>
          </cell>
        </row>
        <row r="23">
          <cell r="B23">
            <v>35000</v>
          </cell>
        </row>
        <row r="24">
          <cell r="B24">
            <v>9475</v>
          </cell>
        </row>
        <row r="25">
          <cell r="B25">
            <v>45948</v>
          </cell>
        </row>
        <row r="26">
          <cell r="B26">
            <v>8259</v>
          </cell>
        </row>
        <row r="32">
          <cell r="B32">
            <v>122291</v>
          </cell>
        </row>
        <row r="45">
          <cell r="B45">
            <v>23104</v>
          </cell>
        </row>
        <row r="46">
          <cell r="B46">
            <v>-48558</v>
          </cell>
        </row>
        <row r="47">
          <cell r="B47">
            <v>100000</v>
          </cell>
        </row>
        <row r="49">
          <cell r="B49">
            <v>41400</v>
          </cell>
        </row>
        <row r="54">
          <cell r="B54">
            <v>19896</v>
          </cell>
        </row>
        <row r="78">
          <cell r="B78">
            <v>12680</v>
          </cell>
        </row>
        <row r="79">
          <cell r="B79">
            <v>52491</v>
          </cell>
        </row>
        <row r="82">
          <cell r="B82">
            <v>37000</v>
          </cell>
        </row>
        <row r="85">
          <cell r="B85">
            <v>175005</v>
          </cell>
        </row>
        <row r="86">
          <cell r="B86">
            <v>8905</v>
          </cell>
        </row>
        <row r="91">
          <cell r="B91">
            <v>8012</v>
          </cell>
        </row>
        <row r="92">
          <cell r="B92">
            <v>301270</v>
          </cell>
        </row>
        <row r="97">
          <cell r="B97">
            <v>-70979</v>
          </cell>
        </row>
        <row r="98">
          <cell r="B98">
            <v>-149634</v>
          </cell>
        </row>
        <row r="100">
          <cell r="B100">
            <v>120000</v>
          </cell>
        </row>
        <row r="101">
          <cell r="B101">
            <v>127904</v>
          </cell>
        </row>
        <row r="103">
          <cell r="B103">
            <v>29000</v>
          </cell>
        </row>
        <row r="105">
          <cell r="B105">
            <v>-428502</v>
          </cell>
        </row>
        <row r="109">
          <cell r="B109">
            <v>2930</v>
          </cell>
        </row>
        <row r="110">
          <cell r="B110">
            <v>2012</v>
          </cell>
        </row>
        <row r="111">
          <cell r="B111">
            <v>14285</v>
          </cell>
        </row>
        <row r="113">
          <cell r="B113">
            <v>476256</v>
          </cell>
        </row>
        <row r="114">
          <cell r="B114">
            <v>196138</v>
          </cell>
        </row>
        <row r="115">
          <cell r="B115">
            <v>-20560</v>
          </cell>
        </row>
        <row r="116">
          <cell r="B116">
            <v>1749</v>
          </cell>
        </row>
        <row r="119">
          <cell r="B119">
            <v>-9467</v>
          </cell>
        </row>
        <row r="120">
          <cell r="B120">
            <v>-619594</v>
          </cell>
        </row>
        <row r="121">
          <cell r="B121">
            <v>-148</v>
          </cell>
        </row>
        <row r="122">
          <cell r="B122">
            <v>-17993</v>
          </cell>
        </row>
        <row r="123">
          <cell r="B123">
            <v>-7820</v>
          </cell>
        </row>
        <row r="124">
          <cell r="B124">
            <v>-488363</v>
          </cell>
        </row>
        <row r="125">
          <cell r="B125">
            <v>-14369357</v>
          </cell>
        </row>
        <row r="126">
          <cell r="B126">
            <v>-578725</v>
          </cell>
        </row>
        <row r="128">
          <cell r="B128">
            <v>-10528</v>
          </cell>
        </row>
        <row r="129">
          <cell r="B129">
            <v>-1392</v>
          </cell>
        </row>
        <row r="130">
          <cell r="B130">
            <v>-1178258</v>
          </cell>
        </row>
        <row r="131">
          <cell r="B131">
            <v>18170543</v>
          </cell>
        </row>
        <row r="133">
          <cell r="B133">
            <v>-15746</v>
          </cell>
        </row>
        <row r="135">
          <cell r="B135">
            <v>-1250000</v>
          </cell>
        </row>
        <row r="137">
          <cell r="B137">
            <v>-60297</v>
          </cell>
        </row>
        <row r="138">
          <cell r="B138">
            <v>-42857</v>
          </cell>
        </row>
        <row r="139">
          <cell r="B139">
            <v>-987719</v>
          </cell>
        </row>
        <row r="140">
          <cell r="B140">
            <v>-169070</v>
          </cell>
        </row>
        <row r="141">
          <cell r="B141">
            <v>-35420</v>
          </cell>
        </row>
      </sheetData>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BSSCH"/>
      <sheetName val="PLSCH"/>
      <sheetName val="Asset"/>
      <sheetName val="Liab"/>
      <sheetName val="Income"/>
      <sheetName val="Exp"/>
      <sheetName val="EPS Calculation"/>
      <sheetName val="tb"/>
      <sheetName val="roi2003"/>
      <sheetName val="fa in 1000"/>
      <sheetName val="FASch"/>
      <sheetName val="Investment sch"/>
      <sheetName val="DRS-WKG"/>
      <sheetName val="Deferred tax"/>
      <sheetName val="details of grossup"/>
      <sheetName val="drs gross provn working"/>
      <sheetName val="bad-debt provn"/>
      <sheetName val="income tax computation"/>
      <sheetName val="roi"/>
    </sheetNames>
    <sheetDataSet>
      <sheetData sheetId="0"/>
      <sheetData sheetId="1"/>
      <sheetData sheetId="2"/>
      <sheetData sheetId="3"/>
      <sheetData sheetId="4"/>
      <sheetData sheetId="5"/>
      <sheetData sheetId="6"/>
      <sheetData sheetId="7"/>
      <sheetData sheetId="8"/>
      <sheetData sheetId="9">
        <row r="8">
          <cell r="B8">
            <v>89596</v>
          </cell>
        </row>
        <row r="10">
          <cell r="B10">
            <v>0</v>
          </cell>
        </row>
        <row r="16">
          <cell r="B16">
            <v>56087</v>
          </cell>
        </row>
        <row r="25">
          <cell r="B25">
            <v>45948</v>
          </cell>
        </row>
        <row r="92">
          <cell r="B92">
            <v>301270</v>
          </cell>
        </row>
        <row r="101">
          <cell r="B101">
            <v>127904</v>
          </cell>
        </row>
        <row r="169">
          <cell r="B169">
            <v>0</v>
          </cell>
        </row>
      </sheetData>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ding"/>
      <sheetName val="Diff. Accounts"/>
      <sheetName val="BS&amp;PLA"/>
      <sheetName val="suppliers"/>
      <sheetName val="nav 05 06"/>
      <sheetName val="NRP02"/>
      <sheetName val="NRP 01"/>
      <sheetName val="Def. Tax"/>
      <sheetName val="FBT"/>
      <sheetName val="Annexure II (FBT)"/>
      <sheetName val="3CD "/>
      <sheetName val="TB"/>
      <sheetName val="BS&amp;PLA "/>
      <sheetName val="COMP. "/>
      <sheetName val="F.goods"/>
      <sheetName val="Grey Stock"/>
      <sheetName val="Stock working"/>
      <sheetName val="Monthwise"/>
      <sheetName val="Manuf. grey"/>
      <sheetName val="Yarn purchased"/>
      <sheetName val="Co. Dep."/>
      <sheetName val="ANN-B"/>
      <sheetName val="IT- DEP"/>
      <sheetName val="ANN-C"/>
      <sheetName val="ANN-D"/>
      <sheetName val="ANN-E"/>
      <sheetName val="unsecured"/>
      <sheetName val="ANN-F"/>
      <sheetName val="Sheet1"/>
      <sheetName val="ANN-G"/>
      <sheetName val="Debtors"/>
      <sheetName val="credito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DR"/>
      <sheetName val="DR-Anx"/>
      <sheetName val="AR"/>
      <sheetName val="CARO"/>
      <sheetName val="CAROApp"/>
      <sheetName val="BS"/>
      <sheetName val="PL"/>
      <sheetName val="FundFlow"/>
      <sheetName val="Instructions"/>
      <sheetName val="BSSch"/>
      <sheetName val="FASch"/>
      <sheetName val="PLSch"/>
      <sheetName val="Notes"/>
      <sheetName val="PartIV"/>
      <sheetName val="GR-BS"/>
      <sheetName val="GR-PL"/>
      <sheetName val="AS22"/>
      <sheetName val="115JB"/>
      <sheetName val="115JB-Anx"/>
      <sheetName val="3CA"/>
      <sheetName val="3CA-Anx"/>
      <sheetName val="3CD"/>
      <sheetName val="145A-Exclusive"/>
      <sheetName val="145-Incusive"/>
      <sheetName val="3CD-145A-Anx"/>
      <sheetName val="3CD-Dep-Anx"/>
      <sheetName val="3CD-40A(3)-Anx"/>
      <sheetName val="3CD-40A(2)(b)-Anx"/>
      <sheetName val="3CD-269SS-T-Anx"/>
      <sheetName val="3CD-CFLoss-Anx"/>
      <sheetName val="3CD-Ratios-Anx "/>
      <sheetName val="Names"/>
      <sheetName val="IT"/>
      <sheetName val="Master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3">
          <cell r="C3" t="str">
            <v>Portalplayer (India) Private Limited</v>
          </cell>
        </row>
        <row r="4">
          <cell r="C4" t="str">
            <v>Plot No:249, Prashasan Nagar,Road No:72, Jubilee Hills,Hyderabad-500 034.</v>
          </cell>
        </row>
        <row r="7">
          <cell r="C7" t="str">
            <v>Private Limited Company</v>
          </cell>
        </row>
        <row r="11">
          <cell r="C11" t="str">
            <v>AABCP7418F</v>
          </cell>
        </row>
        <row r="16">
          <cell r="C16" t="str">
            <v>Partner</v>
          </cell>
        </row>
        <row r="19">
          <cell r="C19" t="str">
            <v>Deloitte Haskins &amp; Sells</v>
          </cell>
        </row>
        <row r="20">
          <cell r="C20" t="str">
            <v>P.R. Ramesh</v>
          </cell>
        </row>
        <row r="23">
          <cell r="C23" t="str">
            <v>M.No: 70928</v>
          </cell>
        </row>
        <row r="24">
          <cell r="C24" t="str">
            <v>Chartered Accountants,7th Floor, Amrutha Estates,Lingapur House,Himayathnagar,Hyderabad-500 029.</v>
          </cell>
        </row>
        <row r="28">
          <cell r="C28" t="str">
            <v>31-03-2006</v>
          </cell>
        </row>
        <row r="34">
          <cell r="C34" t="str">
            <v>2006-07</v>
          </cell>
        </row>
        <row r="40">
          <cell r="C40" t="str">
            <v>August 5, 2006</v>
          </cell>
        </row>
        <row r="43">
          <cell r="C43" t="str">
            <v>Hyderabad</v>
          </cell>
        </row>
        <row r="45">
          <cell r="C45" t="str">
            <v>Software Development</v>
          </cell>
        </row>
        <row r="46">
          <cell r="C46" t="str">
            <v>Mercantile</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DR"/>
      <sheetName val="DR-Anx"/>
      <sheetName val="AR"/>
      <sheetName val="CARO"/>
      <sheetName val="CAROApp"/>
      <sheetName val="BS"/>
      <sheetName val="PL"/>
      <sheetName val="FundFlow"/>
      <sheetName val="Instructions"/>
      <sheetName val="BSSch"/>
      <sheetName val="FASch"/>
      <sheetName val="PLSch"/>
      <sheetName val="Notes"/>
      <sheetName val="PartIV"/>
      <sheetName val="GR-BS"/>
      <sheetName val="GR-PL"/>
      <sheetName val="AS22"/>
      <sheetName val="115JB"/>
      <sheetName val="115JB-Anx"/>
      <sheetName val="3CA"/>
      <sheetName val="3CA-Anx"/>
      <sheetName val="3CD"/>
      <sheetName val="145A-Exclusive"/>
      <sheetName val="145-Incusive"/>
      <sheetName val="3CD-145A-Anx"/>
      <sheetName val="3CD-Dep-Anx"/>
      <sheetName val="3CD-40A(3)-Anx"/>
      <sheetName val="3CD-40A(2)(b)-Anx"/>
      <sheetName val="3CD-269SS-T-Anx"/>
      <sheetName val="3CD-CFLoss-Anx"/>
      <sheetName val="3CD-Ratios-Anx "/>
      <sheetName val="Names"/>
      <sheetName val="IT"/>
      <sheetName val="Master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13">
          <cell r="C13" t="str">
            <v>Kamlesh L. Doshi &amp; Co.</v>
          </cell>
        </row>
        <row r="19">
          <cell r="C19" t="str">
            <v>B. M. S. &amp; Co.</v>
          </cell>
        </row>
        <row r="21">
          <cell r="C21" t="str">
            <v xml:space="preserve">B. Com.,  F.C.A. </v>
          </cell>
        </row>
        <row r="22">
          <cell r="C22" t="str">
            <v>Proprietor</v>
          </cell>
        </row>
        <row r="27">
          <cell r="C27" t="str">
            <v>31st March, 2005</v>
          </cell>
        </row>
        <row r="35">
          <cell r="C35" t="str">
            <v>August 5, 2005</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ing"/>
    </sheetNames>
    <sheetDataSet>
      <sheetData sheetId="0" refreshError="1">
        <row r="378">
          <cell r="A378">
            <v>11000</v>
          </cell>
          <cell r="B378" t="str">
            <v>Plant and machinery</v>
          </cell>
          <cell r="C378">
            <v>7254019.2400000002</v>
          </cell>
        </row>
        <row r="379">
          <cell r="A379">
            <v>11010</v>
          </cell>
          <cell r="B379" t="str">
            <v>Accumulated depreciation-plant and mach</v>
          </cell>
          <cell r="C379">
            <v>-2453324.69</v>
          </cell>
        </row>
        <row r="380">
          <cell r="A380">
            <v>13000</v>
          </cell>
          <cell r="B380" t="str">
            <v>Vehicles</v>
          </cell>
          <cell r="C380">
            <v>3699686.99</v>
          </cell>
        </row>
        <row r="381">
          <cell r="A381">
            <v>13010</v>
          </cell>
          <cell r="B381" t="str">
            <v>Accumulated depreciation-Vehicles</v>
          </cell>
          <cell r="C381">
            <v>-502409.22</v>
          </cell>
        </row>
        <row r="382">
          <cell r="A382">
            <v>13020</v>
          </cell>
          <cell r="B382" t="str">
            <v>Accumulated depreciation-Vehicles</v>
          </cell>
          <cell r="C382">
            <v>0</v>
          </cell>
        </row>
        <row r="383">
          <cell r="A383">
            <v>21000</v>
          </cell>
          <cell r="B383" t="str">
            <v>Office equipment</v>
          </cell>
          <cell r="C383">
            <v>3936390.06</v>
          </cell>
        </row>
        <row r="384">
          <cell r="A384">
            <v>21010</v>
          </cell>
          <cell r="B384" t="str">
            <v>Accumulated depreciation-office equipme</v>
          </cell>
          <cell r="C384">
            <v>-1553603.18</v>
          </cell>
        </row>
        <row r="385">
          <cell r="A385">
            <v>21020</v>
          </cell>
          <cell r="B385" t="str">
            <v>Accumulated depreciation-office equipme</v>
          </cell>
          <cell r="C385">
            <v>0</v>
          </cell>
        </row>
        <row r="386">
          <cell r="A386">
            <v>23000</v>
          </cell>
          <cell r="B386" t="str">
            <v>Furniture &amp; fixtures.</v>
          </cell>
          <cell r="C386">
            <v>8528329.9700000007</v>
          </cell>
        </row>
        <row r="387">
          <cell r="A387">
            <v>23010</v>
          </cell>
          <cell r="B387" t="str">
            <v>Accumulated Depreciation - Furniutre &amp;</v>
          </cell>
          <cell r="C387">
            <v>-3178495.91</v>
          </cell>
        </row>
        <row r="388">
          <cell r="A388">
            <v>24000</v>
          </cell>
          <cell r="B388" t="str">
            <v>Computers</v>
          </cell>
          <cell r="C388">
            <v>8284977.1600000001</v>
          </cell>
        </row>
        <row r="389">
          <cell r="A389">
            <v>24010</v>
          </cell>
          <cell r="B389" t="str">
            <v>Accumulated Depreciation - Computers</v>
          </cell>
          <cell r="C389">
            <v>-7552206.6100000003</v>
          </cell>
        </row>
        <row r="390">
          <cell r="A390">
            <v>24020</v>
          </cell>
          <cell r="B390" t="str">
            <v>Accumulated Depreciation - Computers</v>
          </cell>
          <cell r="C390">
            <v>0</v>
          </cell>
        </row>
        <row r="391">
          <cell r="A391">
            <v>34000</v>
          </cell>
          <cell r="B391" t="str">
            <v>Computer software</v>
          </cell>
          <cell r="C391">
            <v>7440500</v>
          </cell>
        </row>
        <row r="392">
          <cell r="A392">
            <v>34010</v>
          </cell>
          <cell r="B392" t="str">
            <v>Accumulated depreciation-computer softw</v>
          </cell>
          <cell r="C392">
            <v>-6536972.2800000003</v>
          </cell>
        </row>
        <row r="393">
          <cell r="A393">
            <v>38000</v>
          </cell>
          <cell r="B393" t="str">
            <v>Goodwill</v>
          </cell>
          <cell r="C393">
            <v>76923000</v>
          </cell>
        </row>
        <row r="394">
          <cell r="A394">
            <v>38010</v>
          </cell>
          <cell r="B394" t="str">
            <v>Accumulated Goodwill write-off</v>
          </cell>
          <cell r="C394">
            <v>-35230031.509999998</v>
          </cell>
        </row>
        <row r="395">
          <cell r="A395">
            <v>38100</v>
          </cell>
          <cell r="B395" t="str">
            <v>Business value</v>
          </cell>
          <cell r="C395">
            <v>136431000</v>
          </cell>
        </row>
        <row r="396">
          <cell r="A396">
            <v>38110</v>
          </cell>
          <cell r="B396" t="str">
            <v>Accumulated Business Value write off</v>
          </cell>
          <cell r="C396">
            <v>-62484152.049999997</v>
          </cell>
        </row>
        <row r="397">
          <cell r="A397">
            <v>38500</v>
          </cell>
          <cell r="B397" t="str">
            <v>Non-Competing fees</v>
          </cell>
          <cell r="C397">
            <v>93753000</v>
          </cell>
        </row>
        <row r="398">
          <cell r="A398">
            <v>38510</v>
          </cell>
          <cell r="B398" t="str">
            <v>Accumulated Non-Compete Fees Write off</v>
          </cell>
          <cell r="C398">
            <v>-93753000</v>
          </cell>
        </row>
        <row r="399">
          <cell r="A399">
            <v>39000</v>
          </cell>
          <cell r="B399" t="str">
            <v>Commercial rights (Marketing and Dist.R</v>
          </cell>
          <cell r="C399">
            <v>18643000</v>
          </cell>
        </row>
        <row r="400">
          <cell r="A400">
            <v>39010</v>
          </cell>
          <cell r="B400" t="str">
            <v>Acc.Comm.rights</v>
          </cell>
          <cell r="C400">
            <v>-6163487.6100000003</v>
          </cell>
        </row>
        <row r="401">
          <cell r="A401">
            <v>39020</v>
          </cell>
          <cell r="B401" t="str">
            <v>Acc.Comm.rights</v>
          </cell>
          <cell r="C401">
            <v>0</v>
          </cell>
        </row>
        <row r="402">
          <cell r="A402">
            <v>60500</v>
          </cell>
          <cell r="B402" t="str">
            <v>Unsecured Loan- DyStar Textilfarben Gmb</v>
          </cell>
          <cell r="C402">
            <v>-116497469.53</v>
          </cell>
        </row>
        <row r="403">
          <cell r="A403">
            <v>60520</v>
          </cell>
          <cell r="B403" t="str">
            <v>Liability for exchange Diff FC loan - D</v>
          </cell>
          <cell r="C403">
            <v>-30646481.239999998</v>
          </cell>
        </row>
        <row r="404">
          <cell r="A404">
            <v>63200</v>
          </cell>
          <cell r="B404" t="str">
            <v>Packing Credit Hongkong Bank.</v>
          </cell>
          <cell r="C404">
            <v>0</v>
          </cell>
        </row>
        <row r="405">
          <cell r="A405">
            <v>63300</v>
          </cell>
          <cell r="B405" t="str">
            <v>Working Capital Loan-Hongkong Bank</v>
          </cell>
          <cell r="C405">
            <v>-35000000</v>
          </cell>
        </row>
        <row r="406">
          <cell r="A406">
            <v>63400</v>
          </cell>
          <cell r="B406" t="str">
            <v>Long Term Working Capital Loan Hongkong</v>
          </cell>
          <cell r="C406">
            <v>0</v>
          </cell>
        </row>
        <row r="407">
          <cell r="A407">
            <v>70000</v>
          </cell>
          <cell r="B407" t="str">
            <v>Equity Share Capital</v>
          </cell>
          <cell r="C407">
            <v>-222815300</v>
          </cell>
        </row>
        <row r="408">
          <cell r="A408">
            <v>75000</v>
          </cell>
          <cell r="B408" t="str">
            <v>Accumulated Profit &amp; Loss</v>
          </cell>
          <cell r="C408">
            <v>34020108.950000003</v>
          </cell>
        </row>
        <row r="409">
          <cell r="A409">
            <v>100000</v>
          </cell>
          <cell r="B409" t="str">
            <v>Petty cash maintained at Corporate Offi</v>
          </cell>
          <cell r="C409">
            <v>7184</v>
          </cell>
        </row>
        <row r="410">
          <cell r="A410">
            <v>113100</v>
          </cell>
          <cell r="B410" t="str">
            <v>Deutsche Bank Current Account</v>
          </cell>
          <cell r="C410">
            <v>272005.21000000002</v>
          </cell>
        </row>
        <row r="411">
          <cell r="A411">
            <v>113101</v>
          </cell>
          <cell r="B411" t="str">
            <v>Deutsche Bank Current Account (payment</v>
          </cell>
          <cell r="C411">
            <v>100</v>
          </cell>
        </row>
        <row r="412">
          <cell r="A412">
            <v>113108</v>
          </cell>
          <cell r="B412" t="str">
            <v>Deutsche Bank Current Account (receipts</v>
          </cell>
          <cell r="C412">
            <v>-2796</v>
          </cell>
        </row>
        <row r="413">
          <cell r="A413">
            <v>113300</v>
          </cell>
          <cell r="B413" t="str">
            <v>Hongkong Bank Current Account.</v>
          </cell>
          <cell r="C413">
            <v>22362574.539999999</v>
          </cell>
        </row>
        <row r="414">
          <cell r="A414">
            <v>113301</v>
          </cell>
          <cell r="B414" t="str">
            <v>Hongkong Bank Current Account (payment</v>
          </cell>
          <cell r="C414">
            <v>-21920782.390000001</v>
          </cell>
        </row>
        <row r="415">
          <cell r="A415">
            <v>113307</v>
          </cell>
          <cell r="B415" t="str">
            <v>Hongkong Bank Current Account (discount</v>
          </cell>
          <cell r="C415">
            <v>0</v>
          </cell>
        </row>
        <row r="416">
          <cell r="A416">
            <v>113308</v>
          </cell>
          <cell r="B416" t="str">
            <v>Hongkong Bank Current Account (receipts</v>
          </cell>
          <cell r="C416">
            <v>0</v>
          </cell>
        </row>
        <row r="417">
          <cell r="A417">
            <v>113400</v>
          </cell>
          <cell r="B417" t="str">
            <v>Syndicate Bank Current Account</v>
          </cell>
          <cell r="C417">
            <v>1455092.44</v>
          </cell>
        </row>
        <row r="418">
          <cell r="A418">
            <v>113401</v>
          </cell>
          <cell r="B418" t="str">
            <v>Syndicate Bank Current Account(payment</v>
          </cell>
          <cell r="C418">
            <v>-1320231</v>
          </cell>
        </row>
        <row r="419">
          <cell r="A419">
            <v>113500</v>
          </cell>
          <cell r="B419" t="str">
            <v>Citi Bank Current Account</v>
          </cell>
          <cell r="C419">
            <v>1581079.84</v>
          </cell>
        </row>
        <row r="420">
          <cell r="A420">
            <v>113501</v>
          </cell>
          <cell r="B420" t="str">
            <v>Citi Bank Current Account (payment clea</v>
          </cell>
          <cell r="C420">
            <v>-1580000</v>
          </cell>
        </row>
        <row r="421">
          <cell r="A421">
            <v>113508</v>
          </cell>
          <cell r="B421" t="str">
            <v>Citi Bank Current Account (receipts cle</v>
          </cell>
          <cell r="C421">
            <v>-1079.8399999999999</v>
          </cell>
        </row>
        <row r="422">
          <cell r="A422">
            <v>113600</v>
          </cell>
          <cell r="B422" t="str">
            <v>ICICI Bank</v>
          </cell>
          <cell r="C422">
            <v>311268.15000000002</v>
          </cell>
        </row>
        <row r="423">
          <cell r="A423">
            <v>113601</v>
          </cell>
          <cell r="B423" t="str">
            <v>ICICI Current Account (payment clearing</v>
          </cell>
          <cell r="C423">
            <v>-904856</v>
          </cell>
        </row>
        <row r="424">
          <cell r="A424">
            <v>113608</v>
          </cell>
          <cell r="B424" t="str">
            <v>ICICI Current Account (receipts clearin</v>
          </cell>
          <cell r="C424">
            <v>91000</v>
          </cell>
        </row>
        <row r="425">
          <cell r="A425">
            <v>113700</v>
          </cell>
          <cell r="B425" t="str">
            <v>ICICI - COIMBATORE</v>
          </cell>
          <cell r="C425">
            <v>88863.83</v>
          </cell>
        </row>
        <row r="426">
          <cell r="A426">
            <v>113701</v>
          </cell>
          <cell r="B426" t="str">
            <v>ICICI - COIMB. (payment clearing)</v>
          </cell>
          <cell r="C426">
            <v>-12284</v>
          </cell>
        </row>
        <row r="427">
          <cell r="A427">
            <v>113708</v>
          </cell>
          <cell r="B427" t="str">
            <v>ICICI - COIMB. (receipts clearing)</v>
          </cell>
          <cell r="C427">
            <v>0</v>
          </cell>
        </row>
        <row r="428">
          <cell r="A428">
            <v>113801</v>
          </cell>
          <cell r="B428" t="str">
            <v>COMMERZBANK  AG  (PAYMENT CLEARING)</v>
          </cell>
          <cell r="C428">
            <v>-30000000</v>
          </cell>
        </row>
        <row r="429">
          <cell r="A429">
            <v>113808</v>
          </cell>
          <cell r="B429" t="str">
            <v>COMMERZBANK AG (RECEIPTS CLEARING)</v>
          </cell>
          <cell r="C429">
            <v>30000000</v>
          </cell>
        </row>
        <row r="430">
          <cell r="A430">
            <v>113830</v>
          </cell>
          <cell r="B430" t="str">
            <v>Fixed Deposits with Syndicate Bank</v>
          </cell>
          <cell r="C430">
            <v>139943</v>
          </cell>
        </row>
        <row r="431">
          <cell r="A431">
            <v>113850</v>
          </cell>
          <cell r="B431" t="str">
            <v>Fixed Deposits with ICICI Bank</v>
          </cell>
          <cell r="C431">
            <v>583087</v>
          </cell>
        </row>
        <row r="432">
          <cell r="A432">
            <v>113900</v>
          </cell>
          <cell r="B432" t="str">
            <v>State Bank of India - Manjakuppam</v>
          </cell>
          <cell r="C432">
            <v>5000</v>
          </cell>
        </row>
        <row r="433">
          <cell r="A433">
            <v>113910</v>
          </cell>
          <cell r="B433" t="str">
            <v>Deutsche Bank Current Account (Delhi)</v>
          </cell>
          <cell r="C433">
            <v>6683.18</v>
          </cell>
        </row>
        <row r="434">
          <cell r="A434">
            <v>113920</v>
          </cell>
          <cell r="B434" t="str">
            <v>State Bank Of India (Jnpt)</v>
          </cell>
          <cell r="C434">
            <v>19225</v>
          </cell>
        </row>
        <row r="435">
          <cell r="A435">
            <v>113930</v>
          </cell>
          <cell r="B435" t="str">
            <v>State Bank Of India - (Sahar)</v>
          </cell>
          <cell r="C435">
            <v>22062.95</v>
          </cell>
        </row>
        <row r="436">
          <cell r="A436">
            <v>113950</v>
          </cell>
          <cell r="B436" t="str">
            <v>Bank Of India Current Account</v>
          </cell>
          <cell r="C436">
            <v>5000</v>
          </cell>
        </row>
        <row r="437">
          <cell r="A437">
            <v>113960</v>
          </cell>
          <cell r="B437" t="str">
            <v>Deutsche Bank Salary Payable Account</v>
          </cell>
          <cell r="C437">
            <v>5279.92</v>
          </cell>
        </row>
        <row r="438">
          <cell r="A438">
            <v>113978</v>
          </cell>
          <cell r="B438" t="str">
            <v>ICICI Bank C/A COIMBATORE (receipts cle</v>
          </cell>
          <cell r="C438">
            <v>0.2</v>
          </cell>
        </row>
        <row r="439">
          <cell r="A439">
            <v>114000</v>
          </cell>
          <cell r="B439" t="str">
            <v>HDFC Bank</v>
          </cell>
          <cell r="C439">
            <v>19281</v>
          </cell>
        </row>
        <row r="440">
          <cell r="A440">
            <v>114200</v>
          </cell>
          <cell r="B440" t="str">
            <v>HSBC Collection Account.</v>
          </cell>
          <cell r="C440">
            <v>659548.87</v>
          </cell>
        </row>
        <row r="441">
          <cell r="A441">
            <v>114208</v>
          </cell>
          <cell r="B441" t="str">
            <v>HSBC Collection Account(receipts cleari</v>
          </cell>
          <cell r="C441">
            <v>-579676.72</v>
          </cell>
        </row>
        <row r="442">
          <cell r="A442">
            <v>120000</v>
          </cell>
          <cell r="B442" t="str">
            <v>Loans to Employees.</v>
          </cell>
          <cell r="C442">
            <v>1780100</v>
          </cell>
        </row>
        <row r="443">
          <cell r="A443">
            <v>125000</v>
          </cell>
          <cell r="B443" t="str">
            <v>Bills Receivable Foreign (Dystar Group)</v>
          </cell>
          <cell r="C443">
            <v>0</v>
          </cell>
        </row>
        <row r="444">
          <cell r="A444">
            <v>128000</v>
          </cell>
          <cell r="B444" t="str">
            <v>Security deposit given to (vendors)</v>
          </cell>
          <cell r="C444">
            <v>15487143</v>
          </cell>
        </row>
        <row r="445">
          <cell r="A445">
            <v>140000</v>
          </cell>
          <cell r="B445" t="str">
            <v>Sundry Debtors Local (Stockists)</v>
          </cell>
          <cell r="C445">
            <v>101253969.95</v>
          </cell>
        </row>
        <row r="446">
          <cell r="A446">
            <v>140099</v>
          </cell>
          <cell r="B446" t="str">
            <v>Accounts receivable-domestic, adjustmen</v>
          </cell>
          <cell r="C446">
            <v>0</v>
          </cell>
        </row>
        <row r="447">
          <cell r="A447">
            <v>140100</v>
          </cell>
          <cell r="B447" t="str">
            <v>Sundry Debtors Local (Customers)</v>
          </cell>
          <cell r="C447">
            <v>55027613.899999999</v>
          </cell>
        </row>
        <row r="448">
          <cell r="A448">
            <v>141000</v>
          </cell>
          <cell r="B448" t="str">
            <v>Debtors-foreign-Others</v>
          </cell>
          <cell r="C448">
            <v>6512344.9400000004</v>
          </cell>
        </row>
        <row r="449">
          <cell r="A449">
            <v>141099</v>
          </cell>
          <cell r="B449" t="str">
            <v>Accounts receivable-foreign, adjustment</v>
          </cell>
          <cell r="C449">
            <v>67072.929999999993</v>
          </cell>
        </row>
        <row r="450">
          <cell r="A450">
            <v>142000</v>
          </cell>
          <cell r="B450" t="str">
            <v>Allowance for doubtful accounts</v>
          </cell>
          <cell r="C450">
            <v>-3080000</v>
          </cell>
        </row>
        <row r="451">
          <cell r="A451">
            <v>143000</v>
          </cell>
          <cell r="B451" t="str">
            <v>Accounts payable-debit balances</v>
          </cell>
          <cell r="C451">
            <v>0</v>
          </cell>
        </row>
        <row r="452">
          <cell r="A452">
            <v>144000</v>
          </cell>
          <cell r="B452" t="str">
            <v>Sundry Debtors Foreign (Dystar Group)</v>
          </cell>
          <cell r="C452">
            <v>19173223.120000001</v>
          </cell>
        </row>
        <row r="453">
          <cell r="A453">
            <v>144099</v>
          </cell>
          <cell r="B453" t="str">
            <v>Accounts receivable-Group companies adj</v>
          </cell>
          <cell r="C453">
            <v>143742.62</v>
          </cell>
        </row>
        <row r="454">
          <cell r="A454">
            <v>151100</v>
          </cell>
          <cell r="B454" t="str">
            <v>Advances to Employees-Imprest</v>
          </cell>
          <cell r="C454">
            <v>177500</v>
          </cell>
        </row>
        <row r="455">
          <cell r="A455">
            <v>154000</v>
          </cell>
          <cell r="B455" t="str">
            <v>Modvat  RG23 Receivable (Thane)</v>
          </cell>
          <cell r="C455">
            <v>107898100.67</v>
          </cell>
        </row>
        <row r="456">
          <cell r="A456">
            <v>154001</v>
          </cell>
          <cell r="B456" t="str">
            <v>PLA-Thane</v>
          </cell>
          <cell r="C456">
            <v>57448.26</v>
          </cell>
        </row>
        <row r="457">
          <cell r="A457">
            <v>154009</v>
          </cell>
          <cell r="B457" t="str">
            <v>MODVAT-Rec-Thane-CCL</v>
          </cell>
          <cell r="C457">
            <v>-111216698.20999999</v>
          </cell>
        </row>
        <row r="458">
          <cell r="A458">
            <v>154010</v>
          </cell>
          <cell r="B458" t="str">
            <v>MODVAT-RG23 Rec-Roha</v>
          </cell>
          <cell r="C458">
            <v>73859972.989999995</v>
          </cell>
        </row>
        <row r="459">
          <cell r="A459">
            <v>154011</v>
          </cell>
          <cell r="B459" t="str">
            <v>PLA-Roha</v>
          </cell>
          <cell r="C459">
            <v>37720.42</v>
          </cell>
        </row>
        <row r="460">
          <cell r="A460">
            <v>154019</v>
          </cell>
          <cell r="B460" t="str">
            <v>MODVAT-Rec-Roha-CCL</v>
          </cell>
          <cell r="C460">
            <v>-87378160.349999994</v>
          </cell>
        </row>
        <row r="461">
          <cell r="A461">
            <v>154040</v>
          </cell>
          <cell r="B461" t="str">
            <v>Sales Tax Set Off on Purchases</v>
          </cell>
          <cell r="C461">
            <v>0</v>
          </cell>
        </row>
        <row r="462">
          <cell r="A462">
            <v>154100</v>
          </cell>
          <cell r="B462" t="str">
            <v>Duty Drawback-export</v>
          </cell>
          <cell r="C462">
            <v>2195643.39</v>
          </cell>
        </row>
        <row r="463">
          <cell r="A463">
            <v>154110</v>
          </cell>
          <cell r="B463" t="str">
            <v>Brandduty receivable</v>
          </cell>
          <cell r="C463">
            <v>4151554.94</v>
          </cell>
        </row>
        <row r="464">
          <cell r="A464">
            <v>154120</v>
          </cell>
          <cell r="B464" t="str">
            <v>DEPB Receivable</v>
          </cell>
          <cell r="C464">
            <v>3962056.93</v>
          </cell>
        </row>
        <row r="465">
          <cell r="A465">
            <v>154520</v>
          </cell>
          <cell r="B465" t="str">
            <v>TDS on Interest received - A. Y. 1999-2</v>
          </cell>
          <cell r="C465">
            <v>-2671</v>
          </cell>
        </row>
        <row r="466">
          <cell r="A466">
            <v>154530</v>
          </cell>
          <cell r="B466" t="str">
            <v>TDS on Interest received - A. Y. 2000-2</v>
          </cell>
          <cell r="C466">
            <v>0</v>
          </cell>
        </row>
        <row r="467">
          <cell r="A467">
            <v>154540</v>
          </cell>
          <cell r="B467" t="str">
            <v>TDS on Interest received - A. Y. 2001-2</v>
          </cell>
          <cell r="C467">
            <v>16613</v>
          </cell>
        </row>
        <row r="468">
          <cell r="A468">
            <v>154550</v>
          </cell>
          <cell r="B468" t="str">
            <v>TDS on Interest received - A. Y. 2002-2</v>
          </cell>
          <cell r="C468">
            <v>49686.36</v>
          </cell>
        </row>
        <row r="469">
          <cell r="A469">
            <v>154600</v>
          </cell>
          <cell r="B469" t="str">
            <v>Taxes Recoverable</v>
          </cell>
          <cell r="C469">
            <v>0.5</v>
          </cell>
        </row>
        <row r="470">
          <cell r="A470">
            <v>154730</v>
          </cell>
          <cell r="B470" t="str">
            <v>Advance Tax Corporate Tax.-A.Y.2000-200</v>
          </cell>
          <cell r="C470">
            <v>0</v>
          </cell>
        </row>
        <row r="471">
          <cell r="A471">
            <v>154740</v>
          </cell>
          <cell r="B471" t="str">
            <v>Advance Tax Corporate Tax.-A.Y.2001-200</v>
          </cell>
          <cell r="C471">
            <v>14000000</v>
          </cell>
        </row>
        <row r="472">
          <cell r="A472">
            <v>154750</v>
          </cell>
          <cell r="B472" t="str">
            <v>Advance Tax Corporate Tax.-A.Y.2002-200</v>
          </cell>
          <cell r="C472">
            <v>20432646</v>
          </cell>
        </row>
        <row r="473">
          <cell r="A473">
            <v>159000</v>
          </cell>
          <cell r="B473" t="str">
            <v>Down payments made on current assets</v>
          </cell>
          <cell r="C473">
            <v>437750</v>
          </cell>
        </row>
        <row r="474">
          <cell r="A474">
            <v>159300</v>
          </cell>
          <cell r="B474" t="str">
            <v>Insurance claim-Rec.</v>
          </cell>
          <cell r="C474">
            <v>0</v>
          </cell>
        </row>
        <row r="475">
          <cell r="A475">
            <v>159320</v>
          </cell>
          <cell r="B475" t="str">
            <v>Prepaid Expenses</v>
          </cell>
          <cell r="C475">
            <v>1799864</v>
          </cell>
        </row>
        <row r="476">
          <cell r="A476">
            <v>160000</v>
          </cell>
          <cell r="B476" t="str">
            <v>Sundry Creditors</v>
          </cell>
          <cell r="C476">
            <v>-29846561.170000002</v>
          </cell>
        </row>
        <row r="477">
          <cell r="A477">
            <v>160099</v>
          </cell>
          <cell r="B477" t="str">
            <v>Accounts payable-domestic, adjustments</v>
          </cell>
          <cell r="C477">
            <v>0</v>
          </cell>
        </row>
        <row r="478">
          <cell r="A478">
            <v>161000</v>
          </cell>
          <cell r="B478" t="str">
            <v>Sundry Creditors -Raw Materials(Foreign</v>
          </cell>
          <cell r="C478">
            <v>0</v>
          </cell>
        </row>
        <row r="479">
          <cell r="A479">
            <v>161099</v>
          </cell>
          <cell r="B479" t="str">
            <v>Accounts payable-foreign, adjustments</v>
          </cell>
          <cell r="C479">
            <v>0</v>
          </cell>
        </row>
        <row r="480">
          <cell r="A480">
            <v>163000</v>
          </cell>
          <cell r="B480" t="str">
            <v>Accounts receivable-credit balances</v>
          </cell>
          <cell r="C480">
            <v>0</v>
          </cell>
        </row>
        <row r="481">
          <cell r="A481">
            <v>164000</v>
          </cell>
          <cell r="B481" t="str">
            <v>Sundry Creditors - Import Of Finished G</v>
          </cell>
          <cell r="C481">
            <v>-50582427.049999997</v>
          </cell>
        </row>
        <row r="482">
          <cell r="A482">
            <v>164099</v>
          </cell>
          <cell r="B482" t="str">
            <v>Accounts payable-affiliated companies a</v>
          </cell>
          <cell r="C482">
            <v>-32774.65</v>
          </cell>
        </row>
        <row r="483">
          <cell r="A483">
            <v>170800</v>
          </cell>
          <cell r="B483" t="str">
            <v>Prov. personnel commitments- interest f</v>
          </cell>
          <cell r="C483">
            <v>-3703575</v>
          </cell>
        </row>
        <row r="484">
          <cell r="A484">
            <v>173100</v>
          </cell>
          <cell r="B484" t="str">
            <v>Interest Accrued but not Due-Term loans</v>
          </cell>
          <cell r="C484">
            <v>-673150.69</v>
          </cell>
        </row>
        <row r="485">
          <cell r="A485">
            <v>173300</v>
          </cell>
          <cell r="B485" t="str">
            <v>Interest Accrued but not Due-Foreign cu</v>
          </cell>
          <cell r="C485">
            <v>-484243.42</v>
          </cell>
        </row>
        <row r="486">
          <cell r="A486">
            <v>175500</v>
          </cell>
          <cell r="B486" t="str">
            <v>Sales Tax- Maharashtra</v>
          </cell>
          <cell r="C486">
            <v>-135944.9</v>
          </cell>
        </row>
        <row r="487">
          <cell r="A487">
            <v>175501</v>
          </cell>
          <cell r="B487" t="str">
            <v>Surcharge on Sales Tax - Maharashtra</v>
          </cell>
          <cell r="C487">
            <v>-38332.07</v>
          </cell>
        </row>
        <row r="488">
          <cell r="A488">
            <v>175502</v>
          </cell>
          <cell r="B488" t="str">
            <v>Turnover Tax - Maharashtra</v>
          </cell>
          <cell r="C488">
            <v>-99488.63</v>
          </cell>
        </row>
        <row r="489">
          <cell r="A489">
            <v>175505</v>
          </cell>
          <cell r="B489" t="str">
            <v>Sales Tax- BASF</v>
          </cell>
          <cell r="C489">
            <v>-20569.2</v>
          </cell>
        </row>
        <row r="490">
          <cell r="A490">
            <v>175506</v>
          </cell>
          <cell r="B490" t="str">
            <v>Sales Tax- BASF(outside Delhi Sales w.e</v>
          </cell>
          <cell r="C490">
            <v>-15647.84</v>
          </cell>
        </row>
        <row r="491">
          <cell r="A491">
            <v>175510</v>
          </cell>
          <cell r="B491" t="str">
            <v>Sales Tax- Tamil Nadu</v>
          </cell>
          <cell r="C491">
            <v>-906147.74</v>
          </cell>
        </row>
        <row r="492">
          <cell r="A492">
            <v>175530</v>
          </cell>
          <cell r="B492" t="str">
            <v>Sales Tax- Chandigarh</v>
          </cell>
          <cell r="C492">
            <v>-32257.09</v>
          </cell>
        </row>
        <row r="493">
          <cell r="A493">
            <v>175600</v>
          </cell>
          <cell r="B493" t="str">
            <v>Central Sales Tax - Maharashtra</v>
          </cell>
          <cell r="C493">
            <v>25823.65</v>
          </cell>
        </row>
        <row r="494">
          <cell r="A494">
            <v>175610</v>
          </cell>
          <cell r="B494" t="str">
            <v>Central Sales Tax- Tamil Nadu.</v>
          </cell>
          <cell r="C494">
            <v>-113018.18</v>
          </cell>
        </row>
        <row r="495">
          <cell r="A495">
            <v>175620</v>
          </cell>
          <cell r="B495" t="str">
            <v>Central Sales Tax- Delhi.</v>
          </cell>
          <cell r="C495">
            <v>-12770.3</v>
          </cell>
        </row>
        <row r="496">
          <cell r="A496">
            <v>175630</v>
          </cell>
          <cell r="B496" t="str">
            <v>Central Sales Tax-Chandigarh</v>
          </cell>
          <cell r="C496">
            <v>-16854.810000000001</v>
          </cell>
        </row>
        <row r="497">
          <cell r="A497">
            <v>177010</v>
          </cell>
          <cell r="B497" t="str">
            <v>T.D.S-Interest-194A</v>
          </cell>
          <cell r="C497">
            <v>13876.12</v>
          </cell>
        </row>
        <row r="498">
          <cell r="A498">
            <v>177020</v>
          </cell>
          <cell r="B498" t="str">
            <v>T.D.S-Contractors</v>
          </cell>
          <cell r="C498">
            <v>0</v>
          </cell>
        </row>
        <row r="499">
          <cell r="A499">
            <v>177040</v>
          </cell>
          <cell r="B499" t="str">
            <v>T.D.S Professionals</v>
          </cell>
          <cell r="C499">
            <v>-2295</v>
          </cell>
        </row>
        <row r="500">
          <cell r="A500">
            <v>177050</v>
          </cell>
          <cell r="B500" t="str">
            <v>T.D.S on Commission-194H</v>
          </cell>
          <cell r="C500">
            <v>-19753</v>
          </cell>
        </row>
        <row r="501">
          <cell r="A501">
            <v>177510</v>
          </cell>
          <cell r="B501" t="str">
            <v>Provident Fund Payable</v>
          </cell>
          <cell r="C501">
            <v>0</v>
          </cell>
        </row>
        <row r="502">
          <cell r="A502">
            <v>177520</v>
          </cell>
          <cell r="B502" t="str">
            <v>Professional Tax Payable</v>
          </cell>
          <cell r="C502">
            <v>0</v>
          </cell>
        </row>
        <row r="503">
          <cell r="A503">
            <v>178520</v>
          </cell>
          <cell r="B503" t="str">
            <v>Provision for Taxation- A.Y.2000-01</v>
          </cell>
          <cell r="C503">
            <v>-160000</v>
          </cell>
        </row>
        <row r="504">
          <cell r="A504">
            <v>178521</v>
          </cell>
          <cell r="B504" t="str">
            <v>Deferred Tax Liability 2000</v>
          </cell>
          <cell r="C504">
            <v>-972000</v>
          </cell>
        </row>
        <row r="505">
          <cell r="A505">
            <v>178530</v>
          </cell>
          <cell r="B505" t="str">
            <v>Provision for Taxation- A.Y.2001-02</v>
          </cell>
          <cell r="C505">
            <v>-16000000</v>
          </cell>
        </row>
        <row r="506">
          <cell r="A506">
            <v>178540</v>
          </cell>
          <cell r="B506" t="str">
            <v>Provision for Taxation- A.Y.2002-03</v>
          </cell>
          <cell r="C506">
            <v>-27845000</v>
          </cell>
        </row>
        <row r="507">
          <cell r="A507">
            <v>179100</v>
          </cell>
          <cell r="B507" t="str">
            <v>Other outstanding liabilities</v>
          </cell>
          <cell r="C507">
            <v>-5248396.28</v>
          </cell>
        </row>
        <row r="508">
          <cell r="A508">
            <v>191100</v>
          </cell>
          <cell r="B508" t="str">
            <v>GR/IR clearing-external procurement</v>
          </cell>
          <cell r="C508">
            <v>-1207663.68</v>
          </cell>
        </row>
        <row r="509">
          <cell r="A509">
            <v>192100</v>
          </cell>
          <cell r="B509" t="str">
            <v>Freight on Purchases - clearing</v>
          </cell>
          <cell r="C509">
            <v>-373553.19</v>
          </cell>
        </row>
        <row r="510">
          <cell r="A510">
            <v>192200</v>
          </cell>
          <cell r="B510" t="str">
            <v>Modvat Clearing Account - Than</v>
          </cell>
          <cell r="C510">
            <v>-107898100.67</v>
          </cell>
        </row>
        <row r="511">
          <cell r="A511">
            <v>192210</v>
          </cell>
          <cell r="B511" t="str">
            <v>Modvat Clearing Account -Roha</v>
          </cell>
          <cell r="C511">
            <v>-73859972.989999995</v>
          </cell>
        </row>
        <row r="512">
          <cell r="A512">
            <v>192299</v>
          </cell>
          <cell r="B512" t="str">
            <v>MODVAT Offset a/c</v>
          </cell>
          <cell r="C512">
            <v>195849728.44999999</v>
          </cell>
        </row>
        <row r="513">
          <cell r="A513">
            <v>192300</v>
          </cell>
          <cell r="B513" t="str">
            <v>Custom duty on RM Purchases - clearing</v>
          </cell>
          <cell r="C513">
            <v>-1081521.9099999999</v>
          </cell>
        </row>
        <row r="514">
          <cell r="A514">
            <v>192500</v>
          </cell>
          <cell r="B514" t="str">
            <v>Octori on Purchases - clearing</v>
          </cell>
          <cell r="C514">
            <v>92731.8</v>
          </cell>
        </row>
        <row r="515">
          <cell r="A515">
            <v>192600</v>
          </cell>
          <cell r="B515" t="str">
            <v>Clearing and Forwarding on Purchases -</v>
          </cell>
          <cell r="C515">
            <v>-317163.44</v>
          </cell>
        </row>
        <row r="516">
          <cell r="A516">
            <v>193200</v>
          </cell>
          <cell r="B516" t="str">
            <v>Octroi on Shipment- clearing</v>
          </cell>
          <cell r="C516">
            <v>-25207.88</v>
          </cell>
        </row>
        <row r="517">
          <cell r="A517">
            <v>197000</v>
          </cell>
          <cell r="B517" t="str">
            <v>Security deposit (customers)</v>
          </cell>
          <cell r="C517">
            <v>-20113082.77</v>
          </cell>
        </row>
        <row r="518">
          <cell r="A518">
            <v>300000</v>
          </cell>
          <cell r="B518" t="str">
            <v>InvetoryRaw material   (Local)</v>
          </cell>
          <cell r="C518">
            <v>19079341.030000001</v>
          </cell>
        </row>
        <row r="519">
          <cell r="A519">
            <v>300001</v>
          </cell>
          <cell r="B519" t="str">
            <v>Accumulated depreciation-raw materials</v>
          </cell>
          <cell r="C519">
            <v>-1198372</v>
          </cell>
        </row>
        <row r="520">
          <cell r="A520">
            <v>300010</v>
          </cell>
          <cell r="B520" t="str">
            <v>InvetoryRaw material Import</v>
          </cell>
          <cell r="C520">
            <v>1538723.8</v>
          </cell>
        </row>
        <row r="521">
          <cell r="A521">
            <v>305000</v>
          </cell>
          <cell r="B521" t="str">
            <v>Inventory Packaging material</v>
          </cell>
          <cell r="C521">
            <v>812081.92</v>
          </cell>
        </row>
        <row r="522">
          <cell r="A522">
            <v>790000</v>
          </cell>
          <cell r="B522" t="str">
            <v>Inventory Semifinished goods</v>
          </cell>
          <cell r="C522">
            <v>9936658.9900000002</v>
          </cell>
        </row>
        <row r="523">
          <cell r="A523">
            <v>790001</v>
          </cell>
          <cell r="B523" t="str">
            <v>Accumulated depreciation-semifinished g</v>
          </cell>
          <cell r="C523">
            <v>-457008</v>
          </cell>
        </row>
        <row r="524">
          <cell r="A524">
            <v>791000</v>
          </cell>
          <cell r="B524" t="str">
            <v>Work in process</v>
          </cell>
          <cell r="C524">
            <v>2791552.77</v>
          </cell>
        </row>
        <row r="525">
          <cell r="A525">
            <v>792000</v>
          </cell>
          <cell r="B525" t="str">
            <v>Inventory Finished goods</v>
          </cell>
          <cell r="C525">
            <v>50349071.509999998</v>
          </cell>
        </row>
        <row r="526">
          <cell r="A526">
            <v>792001</v>
          </cell>
          <cell r="B526" t="str">
            <v>Accumulated depreciation-finished goods</v>
          </cell>
          <cell r="C526">
            <v>-5996219.25</v>
          </cell>
        </row>
        <row r="527">
          <cell r="A527">
            <v>793010</v>
          </cell>
          <cell r="B527" t="str">
            <v>Inventories Trading Goods (Imported)</v>
          </cell>
          <cell r="C527">
            <v>18312655.719999999</v>
          </cell>
        </row>
        <row r="528">
          <cell r="A528">
            <v>793011</v>
          </cell>
          <cell r="B528" t="str">
            <v>Accumulated depreciation-Trading Goods</v>
          </cell>
          <cell r="C528">
            <v>-87656</v>
          </cell>
        </row>
        <row r="529">
          <cell r="A529">
            <v>793200</v>
          </cell>
          <cell r="B529" t="str">
            <v>Inventory Trading goods(BASF)</v>
          </cell>
          <cell r="C529">
            <v>3924064.62</v>
          </cell>
        </row>
        <row r="530">
          <cell r="A530">
            <v>793300</v>
          </cell>
          <cell r="B530" t="str">
            <v>Inventory Trading goods(Import) BASF/1</v>
          </cell>
          <cell r="C530">
            <v>6639641.25</v>
          </cell>
        </row>
        <row r="531">
          <cell r="A531">
            <v>793376</v>
          </cell>
          <cell r="B531" t="str">
            <v>Inventory Trading goods-in-transit</v>
          </cell>
          <cell r="C531">
            <v>22819071.449999999</v>
          </cell>
        </row>
        <row r="532">
          <cell r="A532">
            <v>900000</v>
          </cell>
          <cell r="B532" t="str">
            <v>Retained earnings</v>
          </cell>
          <cell r="C532">
            <v>0</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dt"/>
      <sheetName val="Report Setup Sheet"/>
      <sheetName val="Business Summary Financial"/>
      <sheetName val="Unit Breakup"/>
      <sheetName val="Segment"/>
      <sheetName val="Ughai"/>
      <sheetName val="KPM"/>
      <sheetName val="Project Progress"/>
      <sheetName val="Initiative Progress"/>
      <sheetName val="Business Position Paper"/>
      <sheetName val="Consolidated Business"/>
      <sheetName val="Unit1"/>
      <sheetName val="Unit2"/>
      <sheetName val="Unit3"/>
      <sheetName val="Unit4"/>
      <sheetName val="Unit5"/>
      <sheetName val="Unit6"/>
      <sheetName val="Unit7"/>
      <sheetName val="Unit8"/>
      <sheetName val="Unit9"/>
      <sheetName val="Unit10"/>
      <sheetName val="Unit11"/>
      <sheetName val="Unit12"/>
      <sheetName val="Unit13"/>
      <sheetName val="Unit14"/>
      <sheetName val="Unit15"/>
    </sheetNames>
    <sheetDataSet>
      <sheetData sheetId="0" refreshError="1"/>
      <sheetData sheetId="1" refreshError="1">
        <row r="50">
          <cell r="B50" t="str">
            <v>Carbon Black</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
      <sheetName val="P&amp;L"/>
      <sheetName val="BS"/>
      <sheetName val="Cash Flow"/>
      <sheetName val="Stks"/>
      <sheetName val="Stk Stm"/>
      <sheetName val="CPC"/>
      <sheetName val="PwPf-Company"/>
      <sheetName val="Manu Exp-Co"/>
      <sheetName val="S&amp;D-Co"/>
      <sheetName val="Admin Exp-Co"/>
      <sheetName val="Salary"/>
      <sheetName val="PwPf-Depot"/>
      <sheetName val="S&amp;D-Oh"/>
      <sheetName val="S&amp;D-Sales"/>
      <sheetName val="Field Staff"/>
      <sheetName val="R&amp;D-Exp"/>
      <sheetName val="Factory"/>
      <sheetName val="Costing"/>
      <sheetName val="Factory-OH"/>
      <sheetName val="Wages"/>
      <sheetName val="Out-Std"/>
      <sheetName val="Cost Os"/>
      <sheetName val="capax summ"/>
      <sheetName val="projec_detail"/>
      <sheetName val="control cwip"/>
      <sheetName val="Csa Inv"/>
      <sheetName val="R&amp;D"/>
      <sheetName val="Advt"/>
      <sheetName val="NPC-CPC"/>
      <sheetName val="State Summ"/>
      <sheetName val="Unit Summ"/>
      <sheetName val="State Vol"/>
      <sheetName val="Volum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m"/>
      <sheetName val="Challan"/>
      <sheetName val="Annexure-I"/>
      <sheetName val="ImportSheet"/>
      <sheetName val="Param"/>
      <sheetName val="outPut"/>
    </sheetNames>
    <sheetDataSet>
      <sheetData sheetId="0" refreshError="1"/>
      <sheetData sheetId="1" refreshError="1"/>
      <sheetData sheetId="2">
        <row r="7">
          <cell r="A7">
            <v>1</v>
          </cell>
          <cell r="B7" t="str">
            <v>94C</v>
          </cell>
          <cell r="C7">
            <v>13711</v>
          </cell>
          <cell r="D7">
            <v>0</v>
          </cell>
          <cell r="E7">
            <v>0</v>
          </cell>
          <cell r="F7">
            <v>0</v>
          </cell>
          <cell r="G7">
            <v>0</v>
          </cell>
          <cell r="I7">
            <v>13711</v>
          </cell>
          <cell r="J7" t="str">
            <v>0</v>
          </cell>
          <cell r="L7">
            <v>533</v>
          </cell>
          <cell r="N7">
            <v>39094</v>
          </cell>
          <cell r="P7">
            <v>58</v>
          </cell>
          <cell r="Q7" t="str">
            <v>No</v>
          </cell>
          <cell r="R7">
            <v>0</v>
          </cell>
          <cell r="S7">
            <v>0</v>
          </cell>
        </row>
        <row r="8">
          <cell r="A8">
            <v>2</v>
          </cell>
          <cell r="B8" t="str">
            <v>94J</v>
          </cell>
          <cell r="C8">
            <v>5610</v>
          </cell>
          <cell r="D8">
            <v>0</v>
          </cell>
          <cell r="E8">
            <v>0</v>
          </cell>
          <cell r="F8">
            <v>0</v>
          </cell>
          <cell r="G8">
            <v>0</v>
          </cell>
          <cell r="I8">
            <v>5610</v>
          </cell>
          <cell r="J8" t="str">
            <v>0</v>
          </cell>
          <cell r="L8">
            <v>533</v>
          </cell>
          <cell r="N8">
            <v>39094</v>
          </cell>
          <cell r="P8">
            <v>56</v>
          </cell>
          <cell r="Q8" t="str">
            <v>No</v>
          </cell>
          <cell r="R8">
            <v>0</v>
          </cell>
          <cell r="S8">
            <v>0</v>
          </cell>
        </row>
        <row r="9">
          <cell r="I9">
            <v>0</v>
          </cell>
        </row>
        <row r="10">
          <cell r="I10">
            <v>0</v>
          </cell>
        </row>
        <row r="11">
          <cell r="I11">
            <v>0</v>
          </cell>
        </row>
        <row r="12">
          <cell r="I12">
            <v>0</v>
          </cell>
        </row>
        <row r="13">
          <cell r="I13">
            <v>0</v>
          </cell>
        </row>
        <row r="14">
          <cell r="I14">
            <v>0</v>
          </cell>
        </row>
        <row r="15">
          <cell r="I15">
            <v>0</v>
          </cell>
        </row>
        <row r="16">
          <cell r="I16">
            <v>0</v>
          </cell>
        </row>
        <row r="17">
          <cell r="I17">
            <v>0</v>
          </cell>
        </row>
        <row r="18">
          <cell r="I18">
            <v>0</v>
          </cell>
        </row>
        <row r="19">
          <cell r="I19">
            <v>0</v>
          </cell>
        </row>
        <row r="20">
          <cell r="I20">
            <v>0</v>
          </cell>
        </row>
        <row r="21">
          <cell r="I21">
            <v>0</v>
          </cell>
        </row>
        <row r="22">
          <cell r="I22">
            <v>0</v>
          </cell>
        </row>
        <row r="23">
          <cell r="I23">
            <v>0</v>
          </cell>
        </row>
        <row r="24">
          <cell r="I24">
            <v>0</v>
          </cell>
        </row>
        <row r="25">
          <cell r="I25">
            <v>0</v>
          </cell>
        </row>
        <row r="26">
          <cell r="I26">
            <v>0</v>
          </cell>
        </row>
        <row r="27">
          <cell r="I27">
            <v>0</v>
          </cell>
        </row>
        <row r="28">
          <cell r="I28">
            <v>0</v>
          </cell>
        </row>
        <row r="29">
          <cell r="I29">
            <v>0</v>
          </cell>
        </row>
        <row r="30">
          <cell r="I30">
            <v>0</v>
          </cell>
        </row>
        <row r="31">
          <cell r="I31">
            <v>0</v>
          </cell>
        </row>
        <row r="32">
          <cell r="I32">
            <v>0</v>
          </cell>
        </row>
        <row r="33">
          <cell r="I33">
            <v>0</v>
          </cell>
        </row>
        <row r="34">
          <cell r="I34">
            <v>0</v>
          </cell>
        </row>
        <row r="35">
          <cell r="I35">
            <v>0</v>
          </cell>
        </row>
        <row r="36">
          <cell r="I36">
            <v>0</v>
          </cell>
        </row>
        <row r="37">
          <cell r="I37">
            <v>0</v>
          </cell>
        </row>
        <row r="38">
          <cell r="I38">
            <v>0</v>
          </cell>
        </row>
        <row r="39">
          <cell r="I39">
            <v>0</v>
          </cell>
        </row>
        <row r="40">
          <cell r="I40">
            <v>0</v>
          </cell>
        </row>
        <row r="41">
          <cell r="I41">
            <v>0</v>
          </cell>
        </row>
        <row r="42">
          <cell r="I42">
            <v>0</v>
          </cell>
        </row>
        <row r="43">
          <cell r="I43">
            <v>0</v>
          </cell>
        </row>
        <row r="44">
          <cell r="I44">
            <v>0</v>
          </cell>
        </row>
        <row r="45">
          <cell r="I45">
            <v>0</v>
          </cell>
        </row>
        <row r="46">
          <cell r="I46">
            <v>0</v>
          </cell>
        </row>
        <row r="47">
          <cell r="I47">
            <v>0</v>
          </cell>
        </row>
        <row r="48">
          <cell r="I48">
            <v>0</v>
          </cell>
        </row>
        <row r="49">
          <cell r="I49">
            <v>0</v>
          </cell>
        </row>
        <row r="50">
          <cell r="I50">
            <v>0</v>
          </cell>
        </row>
        <row r="51">
          <cell r="I51">
            <v>0</v>
          </cell>
        </row>
        <row r="52">
          <cell r="I52">
            <v>0</v>
          </cell>
        </row>
        <row r="53">
          <cell r="I53">
            <v>0</v>
          </cell>
        </row>
        <row r="54">
          <cell r="I54">
            <v>0</v>
          </cell>
        </row>
        <row r="55">
          <cell r="I55">
            <v>0</v>
          </cell>
        </row>
        <row r="56">
          <cell r="I56">
            <v>0</v>
          </cell>
        </row>
        <row r="57">
          <cell r="I57">
            <v>0</v>
          </cell>
        </row>
        <row r="58">
          <cell r="A58" t="str">
            <v>Total</v>
          </cell>
          <cell r="C58">
            <v>19321</v>
          </cell>
          <cell r="D58">
            <v>0</v>
          </cell>
          <cell r="E58">
            <v>0</v>
          </cell>
          <cell r="F58">
            <v>0</v>
          </cell>
          <cell r="G58">
            <v>0</v>
          </cell>
          <cell r="H58">
            <v>0</v>
          </cell>
          <cell r="I58">
            <v>19321</v>
          </cell>
          <cell r="R58">
            <v>0</v>
          </cell>
          <cell r="S58">
            <v>0</v>
          </cell>
        </row>
      </sheetData>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Start"/>
      <sheetName val="Sum"/>
      <sheetName val="Upgrade"/>
      <sheetName val="M_S"/>
      <sheetName val="M_M"/>
      <sheetName val="M_C"/>
      <sheetName val="M_O"/>
      <sheetName val="M_A"/>
      <sheetName val="M_F"/>
      <sheetName val="M_B"/>
      <sheetName val="M_T"/>
      <sheetName val="M_Charts"/>
      <sheetName val="M_IS"/>
      <sheetName val="M_CF"/>
      <sheetName val="M_BS"/>
      <sheetName val="M_PR"/>
      <sheetName val="M_SY"/>
      <sheetName val="Q_A1"/>
      <sheetName val="Q_A2"/>
      <sheetName val="Q_Charts"/>
      <sheetName val="67_A"/>
      <sheetName val="A_Charts"/>
      <sheetName val="Q_IS"/>
      <sheetName val="Q_CF"/>
      <sheetName val="Q_BS"/>
      <sheetName val="Q_PR"/>
      <sheetName val="Text"/>
      <sheetName val="Quik"/>
      <sheetName val="Sens"/>
      <sheetName val="What-If"/>
      <sheetName val="Profit"/>
      <sheetName val="Cash"/>
      <sheetName val="Track"/>
      <sheetName val="Trends"/>
      <sheetName val="Check"/>
      <sheetName val="Calc"/>
      <sheetName val="MAIN"/>
      <sheetName val="COMMERCIAL"/>
      <sheetName val="SHARE"/>
      <sheetName val="ASS"/>
      <sheetName val="PROT"/>
      <sheetName val="PRINT-ASS"/>
      <sheetName val="OUT"/>
      <sheetName val="PRINT-OUT"/>
      <sheetName val="CHARTS"/>
      <sheetName val="PRINT-CHARTS"/>
      <sheetName val="TOOLS-SETUP"/>
      <sheetName val="HELP"/>
      <sheetName val="ADDITIONS"/>
      <sheetName val="DESCRIPTION"/>
      <sheetName val="BASICINFO"/>
      <sheetName val="PRINT"/>
      <sheetName val="ABOUT"/>
      <sheetName val="VIEW"/>
      <sheetName val="CHART"/>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row r="6">
          <cell r="H6" t="str">
            <v>Sales tax</v>
          </cell>
        </row>
      </sheetData>
      <sheetData sheetId="12" refreshError="1"/>
      <sheetData sheetId="13"/>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ow r="173">
          <cell r="H173" t="str">
            <v>000</v>
          </cell>
        </row>
        <row r="174">
          <cell r="H174" t="str">
            <v xml:space="preserve"> - Product A</v>
          </cell>
        </row>
        <row r="175">
          <cell r="H175" t="str">
            <v xml:space="preserve"> - Product B</v>
          </cell>
        </row>
        <row r="176">
          <cell r="H176" t="str">
            <v xml:space="preserve"> - Product C</v>
          </cell>
        </row>
        <row r="177">
          <cell r="H177" t="str">
            <v xml:space="preserve"> - Product D</v>
          </cell>
        </row>
        <row r="178">
          <cell r="H178" t="str">
            <v xml:space="preserve"> - Service A</v>
          </cell>
        </row>
        <row r="179">
          <cell r="H179" t="str">
            <v xml:space="preserve"> - Service B</v>
          </cell>
        </row>
        <row r="180">
          <cell r="H180" t="str">
            <v xml:space="preserve"> - Service C</v>
          </cell>
        </row>
        <row r="181">
          <cell r="H181" t="str">
            <v xml:space="preserve"> - Service D</v>
          </cell>
        </row>
        <row r="182">
          <cell r="H182" t="str">
            <v xml:space="preserve"> - Exports</v>
          </cell>
        </row>
        <row r="183">
          <cell r="H183" t="str">
            <v xml:space="preserve"> - Spares</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perian Jvmar06"/>
      <sheetName val="BS"/>
      <sheetName val="cashflow"/>
      <sheetName val="PL"/>
      <sheetName val="Schedules"/>
      <sheetName val="FA schedule"/>
      <sheetName val="Sch22"/>
      <sheetName val="Inv"/>
      <sheetName val="BS sub sh"/>
      <sheetName val="Invest. thousand"/>
      <sheetName val="Investments"/>
      <sheetName val="pubres"/>
      <sheetName val="Sheet1"/>
      <sheetName val="Income"/>
      <sheetName val="Exp"/>
      <sheetName val="Leave encashement"/>
      <sheetName val="TB APJ"/>
      <sheetName val="Variance"/>
      <sheetName val="vari-1"/>
      <sheetName val="TB WORLI"/>
      <sheetName val="deftax"/>
      <sheetName val="Quar ABNL"/>
      <sheetName val="it depr."/>
      <sheetName val="FASCHEDULE"/>
      <sheetName val="G SecST&amp;LT "/>
      <sheetName val="itcomp"/>
      <sheetName val="ratio 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67">
          <cell r="B67">
            <v>125873</v>
          </cell>
        </row>
        <row r="85">
          <cell r="B85">
            <v>53508</v>
          </cell>
        </row>
        <row r="97">
          <cell r="B97">
            <v>4803530</v>
          </cell>
        </row>
      </sheetData>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Bsheet &amp; P&amp; L "/>
      <sheetName val="depreciation"/>
      <sheetName val="comp31.3.02"/>
      <sheetName val="P&amp;L  Mar31.3.02"/>
      <sheetName val="80IB +80HHC  31.3.02"/>
      <sheetName val="80IB+80 HHC"/>
      <sheetName val="compu-gau"/>
      <sheetName val="Sheet1"/>
      <sheetName val="BS &amp; Pr &amp; Loss (2)"/>
      <sheetName val="Stock Reco."/>
      <sheetName val="ratio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s"/>
      <sheetName val="tds"/>
      <sheetName val="43b"/>
      <sheetName val="depjc1&amp;2"/>
      <sheetName val="dep 99"/>
      <sheetName val="dep1&amp;2&amp;pla"/>
      <sheetName val="80IA"/>
      <sheetName val="80HHC"/>
      <sheetName val="80IA 2"/>
      <sheetName val="capgain"/>
      <sheetName val="ind"/>
    </sheetNames>
    <sheetDataSet>
      <sheetData sheetId="0">
        <row r="28">
          <cell r="H28">
            <v>540967</v>
          </cell>
        </row>
      </sheetData>
      <sheetData sheetId="1">
        <row r="28">
          <cell r="H28">
            <v>540967</v>
          </cell>
        </row>
      </sheetData>
      <sheetData sheetId="2"/>
      <sheetData sheetId="3" refreshError="1">
        <row r="28">
          <cell r="H28">
            <v>540967</v>
          </cell>
        </row>
        <row r="33">
          <cell r="H33">
            <v>2453</v>
          </cell>
        </row>
      </sheetData>
      <sheetData sheetId="4"/>
      <sheetData sheetId="5"/>
      <sheetData sheetId="6"/>
      <sheetData sheetId="7"/>
      <sheetData sheetId="8"/>
      <sheetData sheetId="9"/>
      <sheetData sheetId="10"/>
      <sheetData sheetId="1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rialbal"/>
      <sheetName val="expcfd"/>
      <sheetName val="defentry"/>
      <sheetName val="taxfree"/>
      <sheetName val="roi"/>
      <sheetName val="depre"/>
    </sheetNames>
    <sheetDataSet>
      <sheetData sheetId="0">
        <row r="145">
          <cell r="B145">
            <v>1204916880.8</v>
          </cell>
        </row>
      </sheetData>
      <sheetData sheetId="1">
        <row r="145">
          <cell r="B145">
            <v>1204916880.8</v>
          </cell>
        </row>
      </sheetData>
      <sheetData sheetId="2"/>
      <sheetData sheetId="3"/>
      <sheetData sheetId="4"/>
      <sheetData sheetId="5"/>
      <sheetData sheetId="6"/>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io analysis"/>
      <sheetName val="pubres"/>
      <sheetName val="BS"/>
      <sheetName val="PL"/>
      <sheetName val="Schedules"/>
      <sheetName val="Liab"/>
      <sheetName val="Assets"/>
      <sheetName val="Income"/>
      <sheetName val="Exp"/>
      <sheetName val="TB"/>
      <sheetName val="deftax"/>
      <sheetName val="wndeftax"/>
      <sheetName val="G SecST&amp;LT "/>
      <sheetName val="FA"/>
      <sheetName val="itcomp"/>
      <sheetName val="Recon"/>
      <sheetName val="BREAKUP"/>
    </sheetNames>
    <sheetDataSet>
      <sheetData sheetId="0"/>
      <sheetData sheetId="1"/>
      <sheetData sheetId="2"/>
      <sheetData sheetId="3"/>
      <sheetData sheetId="4"/>
      <sheetData sheetId="5"/>
      <sheetData sheetId="6"/>
      <sheetData sheetId="7"/>
      <sheetData sheetId="8"/>
      <sheetData sheetId="9">
        <row r="185">
          <cell r="B185">
            <v>2529</v>
          </cell>
        </row>
      </sheetData>
      <sheetData sheetId="10"/>
      <sheetData sheetId="11"/>
      <sheetData sheetId="12"/>
      <sheetData sheetId="13"/>
      <sheetData sheetId="14"/>
      <sheetData sheetId="15"/>
      <sheetData sheetId="1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hange fluctuation"/>
      <sheetName val="Debtors Bal.con"/>
      <sheetName val="Sheet2"/>
      <sheetName val="Sheet3"/>
      <sheetName val="depreciation"/>
      <sheetName val="final  Bsheet &amp; P&amp; L "/>
      <sheetName val="Calc"/>
      <sheetName val="M_T"/>
    </sheetNames>
    <sheetDataSet>
      <sheetData sheetId="0">
        <row r="178">
          <cell r="U178" t="str">
            <v>AMOL PHARMACEUTICALS PRIVATE LIMITED</v>
          </cell>
        </row>
        <row r="180">
          <cell r="U180" t="str">
            <v>CALCULATION OF EXCHANGE FLUCTUATION AS ON 31.3.2001</v>
          </cell>
        </row>
        <row r="182">
          <cell r="U182" t="str">
            <v>Invoice</v>
          </cell>
          <cell r="V182" t="str">
            <v xml:space="preserve">Date of </v>
          </cell>
          <cell r="W182" t="str">
            <v xml:space="preserve">Amount in </v>
          </cell>
          <cell r="X182" t="str">
            <v>Rate</v>
          </cell>
          <cell r="Y182" t="str">
            <v xml:space="preserve">Amount </v>
          </cell>
          <cell r="Z182" t="str">
            <v xml:space="preserve">Amount </v>
          </cell>
          <cell r="AA182" t="str">
            <v xml:space="preserve">Exchange </v>
          </cell>
        </row>
        <row r="183">
          <cell r="V183" t="str">
            <v>Receipt</v>
          </cell>
          <cell r="W183" t="str">
            <v>$</v>
          </cell>
          <cell r="Y183" t="str">
            <v>Receivable</v>
          </cell>
          <cell r="Z183" t="str">
            <v>Accounted</v>
          </cell>
          <cell r="AA183" t="str">
            <v>Difference</v>
          </cell>
        </row>
        <row r="184">
          <cell r="U184" t="str">
            <v>AP/2001/USA/089</v>
          </cell>
          <cell r="V184" t="str">
            <v>12.04.2001</v>
          </cell>
          <cell r="W184">
            <v>35000</v>
          </cell>
          <cell r="X184">
            <v>46.77</v>
          </cell>
          <cell r="Y184">
            <v>1636950</v>
          </cell>
          <cell r="Z184">
            <v>1629250</v>
          </cell>
          <cell r="AA184">
            <v>7700</v>
          </cell>
        </row>
        <row r="185">
          <cell r="U185" t="str">
            <v>AP/2001/USA/90</v>
          </cell>
          <cell r="V185" t="str">
            <v>28.05.2001</v>
          </cell>
          <cell r="W185">
            <v>19223.75</v>
          </cell>
          <cell r="X185">
            <v>46.77</v>
          </cell>
          <cell r="Y185">
            <v>899094.78750000009</v>
          </cell>
          <cell r="Z185">
            <v>894865.5625</v>
          </cell>
          <cell r="AA185">
            <v>4229.2250000000931</v>
          </cell>
        </row>
        <row r="186">
          <cell r="U186" t="str">
            <v>AP/2001/HBL/07</v>
          </cell>
          <cell r="V186" t="str">
            <v>18.05.2001</v>
          </cell>
          <cell r="W186">
            <v>45000</v>
          </cell>
          <cell r="X186">
            <v>46.77</v>
          </cell>
          <cell r="Y186">
            <v>2104650</v>
          </cell>
          <cell r="Z186">
            <v>2094750</v>
          </cell>
          <cell r="AA186">
            <v>9900</v>
          </cell>
        </row>
        <row r="187">
          <cell r="U187" t="str">
            <v>AP/2000/TRA/09</v>
          </cell>
          <cell r="V187" t="str">
            <v>28.05.2001</v>
          </cell>
          <cell r="W187">
            <v>7600</v>
          </cell>
          <cell r="X187">
            <v>46.77</v>
          </cell>
          <cell r="Y187">
            <v>355452</v>
          </cell>
          <cell r="Z187">
            <v>353780</v>
          </cell>
          <cell r="AA187">
            <v>1672</v>
          </cell>
        </row>
        <row r="188">
          <cell r="U188" t="str">
            <v>AP/2001/USA/91</v>
          </cell>
          <cell r="V188" t="str">
            <v>09.05.2001</v>
          </cell>
          <cell r="W188">
            <v>1.3</v>
          </cell>
          <cell r="X188">
            <v>46.77</v>
          </cell>
          <cell r="Y188">
            <v>60.801000000000009</v>
          </cell>
          <cell r="Z188">
            <v>60.515000000000001</v>
          </cell>
          <cell r="AA188">
            <v>0.28600000000000847</v>
          </cell>
        </row>
        <row r="189">
          <cell r="U189" t="str">
            <v>AP/2001/USA/91</v>
          </cell>
          <cell r="V189" t="str">
            <v>18.05.2001</v>
          </cell>
          <cell r="W189">
            <v>398.7</v>
          </cell>
          <cell r="X189">
            <v>46.77</v>
          </cell>
          <cell r="Y189">
            <v>18647.199000000001</v>
          </cell>
          <cell r="Z189">
            <v>18559.484999999997</v>
          </cell>
          <cell r="AA189">
            <v>87.71400000000358</v>
          </cell>
        </row>
        <row r="190">
          <cell r="U190" t="str">
            <v>AP/2001/HBL/08</v>
          </cell>
          <cell r="V190" t="str">
            <v>19.04.2001</v>
          </cell>
          <cell r="W190">
            <v>19325</v>
          </cell>
          <cell r="X190">
            <v>46.77</v>
          </cell>
          <cell r="Y190">
            <v>903830.25000000012</v>
          </cell>
          <cell r="Z190">
            <v>899578.75</v>
          </cell>
          <cell r="AA190">
            <v>4251.5000000001164</v>
          </cell>
        </row>
        <row r="191">
          <cell r="U191" t="str">
            <v>AP/2000/TRA/10</v>
          </cell>
          <cell r="V191" t="str">
            <v>19.04.2001</v>
          </cell>
          <cell r="W191">
            <v>14700</v>
          </cell>
          <cell r="X191">
            <v>46.77</v>
          </cell>
          <cell r="Y191">
            <v>687519</v>
          </cell>
          <cell r="Z191">
            <v>684285</v>
          </cell>
          <cell r="AA191">
            <v>3234</v>
          </cell>
        </row>
        <row r="192">
          <cell r="U192" t="str">
            <v>AP/2001/USA/92</v>
          </cell>
          <cell r="V192" t="str">
            <v>09.05.2001</v>
          </cell>
          <cell r="W192">
            <v>45398.7</v>
          </cell>
          <cell r="X192">
            <v>46.77</v>
          </cell>
          <cell r="Y192">
            <v>2123297.199</v>
          </cell>
          <cell r="Z192">
            <v>2097419.94</v>
          </cell>
          <cell r="AA192">
            <v>25877.259000000078</v>
          </cell>
        </row>
        <row r="193">
          <cell r="U193" t="str">
            <v>AP/2001/USA/93</v>
          </cell>
          <cell r="V193" t="str">
            <v>06.06.2001</v>
          </cell>
          <cell r="W193">
            <v>30000</v>
          </cell>
          <cell r="X193">
            <v>46.77</v>
          </cell>
          <cell r="Y193">
            <v>1403100</v>
          </cell>
          <cell r="Z193">
            <v>1386000</v>
          </cell>
          <cell r="AA193">
            <v>17100</v>
          </cell>
        </row>
        <row r="194">
          <cell r="U194" t="str">
            <v>AP/2001/USA/93</v>
          </cell>
          <cell r="V194" t="str">
            <v>08.06.2001</v>
          </cell>
          <cell r="W194">
            <v>6303.3</v>
          </cell>
          <cell r="X194">
            <v>46.77</v>
          </cell>
          <cell r="Y194">
            <v>294805.34100000001</v>
          </cell>
          <cell r="Z194">
            <v>291212.46000000002</v>
          </cell>
          <cell r="AA194">
            <v>3592.8809999999939</v>
          </cell>
        </row>
        <row r="195">
          <cell r="U195" t="str">
            <v>AP/2001/USA/94</v>
          </cell>
          <cell r="V195" t="str">
            <v>08.06.2001</v>
          </cell>
          <cell r="W195">
            <v>12856.5</v>
          </cell>
          <cell r="X195">
            <v>46.77</v>
          </cell>
          <cell r="Y195">
            <v>601298.505</v>
          </cell>
          <cell r="Z195">
            <v>593970.30000000005</v>
          </cell>
          <cell r="AA195">
            <v>7328.2049999999581</v>
          </cell>
        </row>
        <row r="196">
          <cell r="U196" t="str">
            <v>AP/2001/HBL/09</v>
          </cell>
          <cell r="V196" t="str">
            <v>08.06.2001</v>
          </cell>
          <cell r="W196">
            <v>6948.75</v>
          </cell>
          <cell r="X196">
            <v>46.77</v>
          </cell>
          <cell r="Y196">
            <v>324993.03750000003</v>
          </cell>
          <cell r="Z196">
            <v>321032.25</v>
          </cell>
          <cell r="AA196">
            <v>3960.7875000000349</v>
          </cell>
        </row>
        <row r="197">
          <cell r="U197" t="str">
            <v>AP/2001/HBL/10</v>
          </cell>
          <cell r="V197" t="str">
            <v>08.06.2001</v>
          </cell>
          <cell r="W197">
            <v>10337</v>
          </cell>
          <cell r="X197">
            <v>46.77</v>
          </cell>
          <cell r="Y197">
            <v>483461.49000000005</v>
          </cell>
          <cell r="Z197">
            <v>480670.5</v>
          </cell>
          <cell r="AA197">
            <v>2790.9900000000489</v>
          </cell>
        </row>
        <row r="198">
          <cell r="U198" t="str">
            <v>AP/2000/TRA/11</v>
          </cell>
          <cell r="V198" t="str">
            <v>08.06.2001</v>
          </cell>
          <cell r="W198">
            <v>7600</v>
          </cell>
          <cell r="X198">
            <v>46.77</v>
          </cell>
          <cell r="Y198">
            <v>355452</v>
          </cell>
          <cell r="Z198">
            <v>353400</v>
          </cell>
          <cell r="AA198">
            <v>2052</v>
          </cell>
        </row>
        <row r="199">
          <cell r="U199" t="str">
            <v>AP/2001/USA/95</v>
          </cell>
          <cell r="V199" t="str">
            <v>21.06.2001</v>
          </cell>
          <cell r="W199">
            <v>12099.9</v>
          </cell>
          <cell r="X199">
            <v>46.77</v>
          </cell>
          <cell r="Y199">
            <v>565912.32299999997</v>
          </cell>
          <cell r="Z199">
            <v>562645.35</v>
          </cell>
          <cell r="AA199">
            <v>3266.9729999999981</v>
          </cell>
        </row>
        <row r="200">
          <cell r="U200" t="str">
            <v>AP/2001/USA/96</v>
          </cell>
          <cell r="V200" t="str">
            <v>21.06.2001</v>
          </cell>
          <cell r="W200">
            <v>7987.6</v>
          </cell>
          <cell r="X200">
            <v>46.77</v>
          </cell>
          <cell r="Y200">
            <v>373580.05200000003</v>
          </cell>
          <cell r="Z200">
            <v>371423.4</v>
          </cell>
          <cell r="AA200">
            <v>2156.6520000000019</v>
          </cell>
        </row>
        <row r="201">
          <cell r="U201" t="str">
            <v>AP/2001/HBL/11</v>
          </cell>
          <cell r="V201" t="str">
            <v>4.7.2001</v>
          </cell>
          <cell r="W201">
            <v>25000</v>
          </cell>
          <cell r="X201">
            <v>46.77</v>
          </cell>
          <cell r="Y201">
            <v>1169250</v>
          </cell>
          <cell r="Z201">
            <v>1162500</v>
          </cell>
          <cell r="AA201">
            <v>6750</v>
          </cell>
        </row>
        <row r="202">
          <cell r="U202" t="str">
            <v>AP/2001/HBL/11</v>
          </cell>
          <cell r="V202" t="str">
            <v>Prov</v>
          </cell>
          <cell r="W202">
            <v>19960</v>
          </cell>
          <cell r="X202">
            <v>46.77</v>
          </cell>
          <cell r="Y202">
            <v>933529.20000000007</v>
          </cell>
          <cell r="Z202">
            <v>928140</v>
          </cell>
          <cell r="AA202">
            <v>5389.2000000000698</v>
          </cell>
        </row>
        <row r="203">
          <cell r="U203" t="str">
            <v>AP/2000/TRA/12</v>
          </cell>
          <cell r="V203" t="str">
            <v>21.06.2001</v>
          </cell>
          <cell r="W203">
            <v>2623.25</v>
          </cell>
          <cell r="X203">
            <v>46.77</v>
          </cell>
          <cell r="Y203">
            <v>122689.40250000001</v>
          </cell>
          <cell r="Z203">
            <v>121981.125</v>
          </cell>
          <cell r="AA203">
            <v>708.27750000001106</v>
          </cell>
        </row>
        <row r="204">
          <cell r="U204" t="str">
            <v>AP/2001/USA/97</v>
          </cell>
          <cell r="V204" t="str">
            <v>Prov</v>
          </cell>
          <cell r="W204">
            <v>6822</v>
          </cell>
          <cell r="X204">
            <v>46.77</v>
          </cell>
          <cell r="Y204">
            <v>319064.94</v>
          </cell>
          <cell r="Z204">
            <v>317223</v>
          </cell>
          <cell r="AA204">
            <v>1841.9400000000023</v>
          </cell>
        </row>
        <row r="205">
          <cell r="U205" t="str">
            <v>AP/2000/TRA/13</v>
          </cell>
          <cell r="V205" t="str">
            <v>Prov</v>
          </cell>
          <cell r="W205">
            <v>15000</v>
          </cell>
          <cell r="X205">
            <v>46.77</v>
          </cell>
          <cell r="Y205">
            <v>701550</v>
          </cell>
          <cell r="Z205">
            <v>697500</v>
          </cell>
          <cell r="AA205">
            <v>4050</v>
          </cell>
        </row>
        <row r="206">
          <cell r="U206" t="str">
            <v>AP/2001/USA/98</v>
          </cell>
          <cell r="V206" t="str">
            <v>Prov</v>
          </cell>
          <cell r="W206">
            <v>37235</v>
          </cell>
          <cell r="X206">
            <v>46.77</v>
          </cell>
          <cell r="Y206">
            <v>1741480.9500000002</v>
          </cell>
          <cell r="Z206">
            <v>1731432.15</v>
          </cell>
          <cell r="AA206">
            <v>10048.800000000279</v>
          </cell>
        </row>
        <row r="207">
          <cell r="U207" t="str">
            <v>AP/2001/HBL/12</v>
          </cell>
          <cell r="V207" t="str">
            <v>Prov</v>
          </cell>
          <cell r="W207">
            <v>23100</v>
          </cell>
          <cell r="X207">
            <v>46.77</v>
          </cell>
          <cell r="Y207">
            <v>1080387</v>
          </cell>
          <cell r="Z207">
            <v>1074150</v>
          </cell>
          <cell r="AA207">
            <v>6237</v>
          </cell>
        </row>
        <row r="208">
          <cell r="U208" t="str">
            <v>AP/2000/TRA/11(M)</v>
          </cell>
          <cell r="V208" t="str">
            <v>Prov</v>
          </cell>
          <cell r="W208">
            <v>17453.900000000001</v>
          </cell>
          <cell r="X208">
            <v>46.77</v>
          </cell>
          <cell r="Y208">
            <v>816318.90300000017</v>
          </cell>
          <cell r="Z208">
            <v>811606.35</v>
          </cell>
          <cell r="AA208">
            <v>4712.5530000001891</v>
          </cell>
        </row>
        <row r="209">
          <cell r="U209" t="str">
            <v>AP/2000/TRA/12(M)</v>
          </cell>
          <cell r="V209" t="str">
            <v>Prov</v>
          </cell>
          <cell r="W209">
            <v>15000</v>
          </cell>
          <cell r="X209">
            <v>46.77</v>
          </cell>
          <cell r="Y209">
            <v>701550</v>
          </cell>
          <cell r="Z209">
            <v>697500</v>
          </cell>
          <cell r="AA209">
            <v>4050</v>
          </cell>
        </row>
        <row r="210">
          <cell r="V210">
            <v>0</v>
          </cell>
          <cell r="W210">
            <v>442974.65</v>
          </cell>
          <cell r="X210">
            <v>1216.0199999999998</v>
          </cell>
          <cell r="Y210">
            <v>20717924.3805</v>
          </cell>
          <cell r="Z210">
            <v>20574936.137500003</v>
          </cell>
          <cell r="AA210">
            <v>142988.24300000089</v>
          </cell>
        </row>
      </sheetData>
      <sheetData sheetId="1"/>
      <sheetData sheetId="2"/>
      <sheetData sheetId="3"/>
      <sheetData sheetId="4" refreshError="1"/>
      <sheetData sheetId="5" refreshError="1"/>
      <sheetData sheetId="6" refreshError="1"/>
      <sheetData sheetId="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MATERIAL"/>
      <sheetName val="JOB WORK"/>
      <sheetName val="rough"/>
      <sheetName val="exchange fluctuation"/>
    </sheetNames>
    <sheetDataSet>
      <sheetData sheetId="0" refreshError="1"/>
      <sheetData sheetId="1" refreshError="1"/>
      <sheetData sheetId="2" refreshError="1"/>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u-gau"/>
      <sheetName val="INT WORKING"/>
      <sheetName val="80 HHC-gau"/>
      <sheetName val="80IB+80 HHC"/>
      <sheetName val="ins, freight,excise"/>
      <sheetName val="BS &amp; Pr &amp; Loss"/>
      <sheetName val="ratios"/>
      <sheetName val="depreication"/>
      <sheetName val="Stock Reco."/>
      <sheetName val="RETROSPECTIVE DEPN"/>
      <sheetName val="gau"/>
      <sheetName val="JOB WORK"/>
      <sheetName val="rough"/>
    </sheetNames>
    <sheetDataSet>
      <sheetData sheetId="0"/>
      <sheetData sheetId="1"/>
      <sheetData sheetId="2"/>
      <sheetData sheetId="3"/>
      <sheetData sheetId="4">
        <row r="434">
          <cell r="B434" t="str">
            <v>AMOL PHARMACEUTICALS P. LTD.</v>
          </cell>
        </row>
      </sheetData>
      <sheetData sheetId="5">
        <row r="434">
          <cell r="B434" t="str">
            <v>AMOL PHARMACEUTICALS P. LTD.</v>
          </cell>
        </row>
        <row r="436">
          <cell r="B436" t="str">
            <v>GROUPING TO THE BALANCE SHEET AND PROFIT &amp; LOSS ACCOUNT</v>
          </cell>
        </row>
        <row r="437">
          <cell r="B437" t="str">
            <v>FOR THE YEAR ENDED 2001</v>
          </cell>
        </row>
        <row r="439">
          <cell r="B439" t="str">
            <v>PARTICULARS</v>
          </cell>
          <cell r="C439">
            <v>0</v>
          </cell>
          <cell r="D439" t="str">
            <v>31.03.01</v>
          </cell>
        </row>
        <row r="441">
          <cell r="B441" t="str">
            <v>INTEREST ACCRUED</v>
          </cell>
        </row>
        <row r="442">
          <cell r="B442" t="str">
            <v>On National Saving Certificates</v>
          </cell>
          <cell r="D442">
            <v>2724</v>
          </cell>
        </row>
        <row r="443">
          <cell r="B443" t="str">
            <v>On Fixed Deposit with Bank</v>
          </cell>
          <cell r="D443">
            <v>25368</v>
          </cell>
        </row>
        <row r="444">
          <cell r="B444" t="str">
            <v>On F.D. with Llyod Finance</v>
          </cell>
          <cell r="D444" t="str">
            <v>-</v>
          </cell>
        </row>
        <row r="445">
          <cell r="D445">
            <v>28092</v>
          </cell>
        </row>
        <row r="448">
          <cell r="B448" t="str">
            <v>PREPAID EXPENSES</v>
          </cell>
        </row>
        <row r="449">
          <cell r="B449" t="str">
            <v>Insurance</v>
          </cell>
          <cell r="D449">
            <v>21866</v>
          </cell>
        </row>
        <row r="450">
          <cell r="B450" t="str">
            <v>Annual Maintainence Contract</v>
          </cell>
          <cell r="D450">
            <v>575</v>
          </cell>
        </row>
        <row r="452">
          <cell r="D452">
            <v>22441</v>
          </cell>
        </row>
        <row r="454">
          <cell r="B454" t="str">
            <v>CREDITORS FOR GOODS</v>
          </cell>
        </row>
        <row r="455">
          <cell r="B455" t="str">
            <v>Aahan Engineerrs P. Ltd.</v>
          </cell>
          <cell r="D455">
            <v>375000</v>
          </cell>
        </row>
        <row r="456">
          <cell r="B456" t="str">
            <v>Bansal  Metalic Oxides</v>
          </cell>
        </row>
        <row r="457">
          <cell r="B457" t="str">
            <v>Bectochem Engineers</v>
          </cell>
          <cell r="D457">
            <v>462392</v>
          </cell>
        </row>
        <row r="458">
          <cell r="B458" t="str">
            <v>Delite Medical Agencies</v>
          </cell>
        </row>
        <row r="459">
          <cell r="B459" t="str">
            <v>Harshad Agencies.</v>
          </cell>
        </row>
        <row r="460">
          <cell r="B460" t="str">
            <v>Kanara Industrial Corp.</v>
          </cell>
          <cell r="D460">
            <v>86527</v>
          </cell>
        </row>
        <row r="461">
          <cell r="B461" t="str">
            <v>Mool Chand &amp; Sons</v>
          </cell>
          <cell r="D461">
            <v>10439</v>
          </cell>
        </row>
        <row r="462">
          <cell r="B462" t="str">
            <v>Nupur Herbal P. Ltd.</v>
          </cell>
          <cell r="D462">
            <v>171080</v>
          </cell>
        </row>
        <row r="463">
          <cell r="B463" t="str">
            <v>Nandu Chemicals P.Ltd.</v>
          </cell>
        </row>
        <row r="464">
          <cell r="B464" t="str">
            <v>Northern Herbals P. Ltd.</v>
          </cell>
        </row>
        <row r="465">
          <cell r="B465" t="str">
            <v>Pankaj Industries</v>
          </cell>
          <cell r="D465">
            <v>251014.39999999999</v>
          </cell>
        </row>
        <row r="466">
          <cell r="B466" t="str">
            <v>Radhika Containers P.Ltd.</v>
          </cell>
          <cell r="D466">
            <v>92334</v>
          </cell>
        </row>
        <row r="467">
          <cell r="B467" t="str">
            <v>Raj Scientific Agencies</v>
          </cell>
        </row>
        <row r="468">
          <cell r="B468" t="str">
            <v>S.J. Chemicals Industries</v>
          </cell>
          <cell r="D468">
            <v>142256</v>
          </cell>
        </row>
        <row r="469">
          <cell r="B469" t="str">
            <v>Savita Scientific &amp; Plastic Product</v>
          </cell>
          <cell r="D469">
            <v>16842</v>
          </cell>
        </row>
        <row r="470">
          <cell r="B470" t="str">
            <v>Science House</v>
          </cell>
        </row>
        <row r="471">
          <cell r="B471" t="str">
            <v>Scientific Sales Syndicate</v>
          </cell>
        </row>
        <row r="472">
          <cell r="B472" t="str">
            <v>Shashi Phytochemical Industries</v>
          </cell>
          <cell r="D472">
            <v>550000</v>
          </cell>
        </row>
        <row r="473">
          <cell r="B473" t="str">
            <v>Spark Chem</v>
          </cell>
        </row>
        <row r="474">
          <cell r="B474" t="str">
            <v>The Gwalior Forest Product</v>
          </cell>
          <cell r="D474">
            <v>802723</v>
          </cell>
        </row>
        <row r="475">
          <cell r="B475" t="str">
            <v>The Scientific &amp; General Agencies</v>
          </cell>
        </row>
        <row r="476">
          <cell r="B476" t="str">
            <v>Themis Laboratories</v>
          </cell>
        </row>
        <row r="477">
          <cell r="B477" t="str">
            <v>Welworth Sales &amp; Services P.Ltd.</v>
          </cell>
          <cell r="D477">
            <v>608000</v>
          </cell>
        </row>
        <row r="479">
          <cell r="D479">
            <v>3568607.4</v>
          </cell>
        </row>
        <row r="481">
          <cell r="B481" t="str">
            <v>CREDITORS FOR EXPENSES</v>
          </cell>
        </row>
        <row r="482">
          <cell r="B482" t="str">
            <v>Abhinandan Associates</v>
          </cell>
        </row>
        <row r="483">
          <cell r="B483" t="str">
            <v>Adron Interior</v>
          </cell>
        </row>
        <row r="484">
          <cell r="B484" t="str">
            <v>Ajmera &amp; Associates</v>
          </cell>
        </row>
        <row r="485">
          <cell r="B485" t="str">
            <v>Abhinandan Associates</v>
          </cell>
        </row>
        <row r="486">
          <cell r="B486" t="str">
            <v>Ajmera &amp; Associates</v>
          </cell>
        </row>
        <row r="487">
          <cell r="B487" t="str">
            <v>Avantika Cooling Services</v>
          </cell>
          <cell r="D487">
            <v>16500</v>
          </cell>
        </row>
        <row r="488">
          <cell r="B488" t="str">
            <v>General Scientific Co.</v>
          </cell>
          <cell r="D488">
            <v>14915</v>
          </cell>
        </row>
        <row r="489">
          <cell r="B489" t="str">
            <v>Oasis Test House</v>
          </cell>
          <cell r="D489">
            <v>600</v>
          </cell>
        </row>
        <row r="490">
          <cell r="B490" t="str">
            <v>Prime Pharmaceuticals</v>
          </cell>
          <cell r="D490">
            <v>14270.85</v>
          </cell>
        </row>
        <row r="491">
          <cell r="B491" t="str">
            <v>American Express Card</v>
          </cell>
          <cell r="D491">
            <v>17458.54</v>
          </cell>
        </row>
        <row r="492">
          <cell r="B492" t="str">
            <v>Amirchand Arjundas</v>
          </cell>
        </row>
        <row r="493">
          <cell r="B493" t="str">
            <v>Audit fees Payable</v>
          </cell>
        </row>
        <row r="494">
          <cell r="B494" t="str">
            <v>Chitter Painter</v>
          </cell>
        </row>
        <row r="495">
          <cell r="B495" t="str">
            <v>Computer Growth</v>
          </cell>
          <cell r="D495">
            <v>1912</v>
          </cell>
        </row>
        <row r="496">
          <cell r="B496" t="str">
            <v>ECGC Payable</v>
          </cell>
        </row>
        <row r="497">
          <cell r="B497" t="str">
            <v>Expeditiors Internatioonal India P. Ltd.</v>
          </cell>
          <cell r="D497">
            <v>320629</v>
          </cell>
        </row>
        <row r="498">
          <cell r="B498" t="str">
            <v>Electric Charges Payable</v>
          </cell>
        </row>
        <row r="499">
          <cell r="B499" t="str">
            <v>Frieght Payable</v>
          </cell>
        </row>
        <row r="500">
          <cell r="B500" t="str">
            <v>Geeta Enterprises</v>
          </cell>
        </row>
        <row r="501">
          <cell r="B501" t="str">
            <v>Jaipur Golden Transport Co.</v>
          </cell>
        </row>
        <row r="502">
          <cell r="B502" t="str">
            <v>Jaipur Publicity Center</v>
          </cell>
        </row>
        <row r="503">
          <cell r="B503" t="str">
            <v>M.Sharma &amp; Associates</v>
          </cell>
        </row>
        <row r="504">
          <cell r="B504" t="str">
            <v>Misc. Expenses Payable</v>
          </cell>
        </row>
        <row r="505">
          <cell r="B505" t="str">
            <v>Nupur Harbals</v>
          </cell>
        </row>
        <row r="506">
          <cell r="B506" t="str">
            <v>Oasis Cellular</v>
          </cell>
        </row>
        <row r="507">
          <cell r="B507" t="str">
            <v>Oasis Test house</v>
          </cell>
        </row>
        <row r="508">
          <cell r="B508" t="str">
            <v>Pest Control Co.</v>
          </cell>
        </row>
        <row r="509">
          <cell r="B509" t="str">
            <v>Pinkcity Marbles</v>
          </cell>
        </row>
        <row r="510">
          <cell r="B510" t="str">
            <v>Postage &amp; Telegraph payable</v>
          </cell>
        </row>
        <row r="511">
          <cell r="B511" t="str">
            <v>Salary &amp; Wages Payable</v>
          </cell>
        </row>
        <row r="512">
          <cell r="B512" t="str">
            <v>Sea Star Services</v>
          </cell>
        </row>
        <row r="513">
          <cell r="B513" t="str">
            <v xml:space="preserve">Sita World Travels </v>
          </cell>
        </row>
        <row r="514">
          <cell r="B514" t="str">
            <v>Superwave Computer</v>
          </cell>
        </row>
        <row r="515">
          <cell r="B515" t="str">
            <v>Telephone Charges Payable</v>
          </cell>
        </row>
        <row r="516">
          <cell r="B516" t="str">
            <v>Utkarsh System Ltd.</v>
          </cell>
        </row>
        <row r="517">
          <cell r="B517" t="str">
            <v>Vinod General Store</v>
          </cell>
        </row>
        <row r="518">
          <cell r="B518" t="str">
            <v>Outstanding Expenses</v>
          </cell>
          <cell r="D518">
            <v>735535.79</v>
          </cell>
        </row>
        <row r="520">
          <cell r="D520">
            <v>1121821.1800000002</v>
          </cell>
        </row>
        <row r="522">
          <cell r="B522" t="str">
            <v>OUTSTANDING EXPENSES</v>
          </cell>
        </row>
        <row r="523">
          <cell r="B523" t="str">
            <v>Electricity</v>
          </cell>
          <cell r="D523">
            <v>97785</v>
          </cell>
        </row>
        <row r="524">
          <cell r="B524" t="str">
            <v>Salary</v>
          </cell>
          <cell r="D524">
            <v>182087</v>
          </cell>
        </row>
        <row r="525">
          <cell r="B525" t="str">
            <v>Wages</v>
          </cell>
          <cell r="D525">
            <v>59375</v>
          </cell>
        </row>
        <row r="526">
          <cell r="B526" t="str">
            <v>Garden Maintainence</v>
          </cell>
          <cell r="D526">
            <v>800</v>
          </cell>
        </row>
        <row r="527">
          <cell r="B527" t="str">
            <v>Professional; &amp; Consulatancy</v>
          </cell>
          <cell r="D527">
            <v>500</v>
          </cell>
        </row>
        <row r="528">
          <cell r="B528" t="str">
            <v>SalaryDeduction</v>
          </cell>
          <cell r="D528">
            <v>25868</v>
          </cell>
        </row>
        <row r="529">
          <cell r="B529" t="str">
            <v>Salary Deduction</v>
          </cell>
          <cell r="D529">
            <v>19637</v>
          </cell>
        </row>
        <row r="530">
          <cell r="B530" t="str">
            <v>Travelling</v>
          </cell>
          <cell r="D530">
            <v>1960</v>
          </cell>
        </row>
        <row r="531">
          <cell r="B531" t="str">
            <v>Power</v>
          </cell>
          <cell r="D531">
            <v>414</v>
          </cell>
        </row>
        <row r="532">
          <cell r="B532" t="str">
            <v>Telephone</v>
          </cell>
          <cell r="D532">
            <v>10000</v>
          </cell>
        </row>
        <row r="533">
          <cell r="B533" t="str">
            <v>Audit Fees</v>
          </cell>
          <cell r="D533">
            <v>52500</v>
          </cell>
        </row>
        <row r="534">
          <cell r="B534" t="str">
            <v>Ecgc Charges</v>
          </cell>
          <cell r="D534">
            <v>2906</v>
          </cell>
        </row>
        <row r="535">
          <cell r="B535" t="str">
            <v>Commission on Purchase</v>
          </cell>
          <cell r="D535">
            <v>159564</v>
          </cell>
        </row>
        <row r="536">
          <cell r="B536" t="str">
            <v>Service Charges</v>
          </cell>
          <cell r="D536">
            <v>12706</v>
          </cell>
        </row>
        <row r="537">
          <cell r="B537" t="str">
            <v>Staff Bonus</v>
          </cell>
          <cell r="D537">
            <v>109433.79</v>
          </cell>
        </row>
        <row r="539">
          <cell r="D539">
            <v>735535.79</v>
          </cell>
        </row>
        <row r="541">
          <cell r="B541" t="str">
            <v>T.D.S. PAYABLE</v>
          </cell>
        </row>
        <row r="542">
          <cell r="B542" t="str">
            <v>On Salary</v>
          </cell>
          <cell r="D542">
            <v>26264</v>
          </cell>
        </row>
        <row r="543">
          <cell r="B543" t="str">
            <v>On Professionals</v>
          </cell>
          <cell r="D543">
            <v>1250</v>
          </cell>
        </row>
        <row r="545">
          <cell r="D545">
            <v>27514</v>
          </cell>
        </row>
        <row r="547">
          <cell r="B547" t="str">
            <v>Steam Pure Chemicals</v>
          </cell>
          <cell r="D547">
            <v>0</v>
          </cell>
        </row>
        <row r="548">
          <cell r="B548" t="str">
            <v>Forbes Pharmaceuticals</v>
          </cell>
        </row>
        <row r="549">
          <cell r="B549" t="str">
            <v>Lason Engineering Co. Ltd.</v>
          </cell>
        </row>
        <row r="550">
          <cell r="B550" t="str">
            <v>Unimex</v>
          </cell>
          <cell r="D550">
            <v>0</v>
          </cell>
        </row>
        <row r="551">
          <cell r="B551" t="str">
            <v>Alta Laboratories</v>
          </cell>
          <cell r="D551">
            <v>0</v>
          </cell>
        </row>
        <row r="552">
          <cell r="B552" t="str">
            <v>S.d.Fine Chem Ltd.</v>
          </cell>
        </row>
        <row r="553">
          <cell r="D553">
            <v>0</v>
          </cell>
        </row>
      </sheetData>
      <sheetData sheetId="6"/>
      <sheetData sheetId="7"/>
      <sheetData sheetId="8"/>
      <sheetData sheetId="9"/>
      <sheetData sheetId="10"/>
      <sheetData sheetId="11" refreshError="1"/>
      <sheetData sheetId="1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0HHC"/>
      <sheetName val="80"/>
      <sheetName val="80HHC- final"/>
      <sheetName val="FAAMOL"/>
      <sheetName val="rough"/>
      <sheetName val="BS &amp; Pr &amp; Loss"/>
    </sheetNames>
    <sheetDataSet>
      <sheetData sheetId="0"/>
      <sheetData sheetId="1"/>
      <sheetData sheetId="2">
        <row r="3">
          <cell r="B3" t="str">
            <v>JASICA IMPEX</v>
          </cell>
        </row>
        <row r="5">
          <cell r="B5" t="str">
            <v>ASSESSMENT YEAR 2001-2002</v>
          </cell>
        </row>
        <row r="7">
          <cell r="B7" t="str">
            <v>ANNEXURE TO CALCULATION OF DEDUCTION UNDER SECTION 80HHC</v>
          </cell>
        </row>
        <row r="9">
          <cell r="B9" t="str">
            <v>EXPORT TUNOVER</v>
          </cell>
          <cell r="G9" t="str">
            <v>TRADED</v>
          </cell>
          <cell r="H9" t="str">
            <v>MANU.</v>
          </cell>
          <cell r="I9" t="str">
            <v>TOTAL</v>
          </cell>
        </row>
        <row r="10">
          <cell r="G10" t="str">
            <v>GOODS</v>
          </cell>
          <cell r="H10" t="str">
            <v>GOODS</v>
          </cell>
          <cell r="I10" t="str">
            <v>TURNOVER</v>
          </cell>
        </row>
        <row r="12">
          <cell r="B12" t="str">
            <v xml:space="preserve">Turnover As Per Balance Sheet </v>
          </cell>
          <cell r="G12">
            <v>37484055</v>
          </cell>
          <cell r="H12">
            <v>116802</v>
          </cell>
          <cell r="I12">
            <v>37600857</v>
          </cell>
        </row>
        <row r="13">
          <cell r="B13" t="str">
            <v>Add: Exchange Fluctuation</v>
          </cell>
          <cell r="G13">
            <v>241671</v>
          </cell>
          <cell r="H13">
            <v>0</v>
          </cell>
          <cell r="I13">
            <v>241671</v>
          </cell>
        </row>
        <row r="14">
          <cell r="C14" t="str">
            <v>(A)</v>
          </cell>
          <cell r="G14">
            <v>37725726</v>
          </cell>
          <cell r="H14">
            <v>116802</v>
          </cell>
          <cell r="I14">
            <v>37842528</v>
          </cell>
        </row>
        <row r="15">
          <cell r="B15" t="str">
            <v xml:space="preserve">Less : Expenses </v>
          </cell>
        </row>
        <row r="16">
          <cell r="B16" t="str">
            <v xml:space="preserve">   Freight &amp; Insurance Attributed to Transport Of</v>
          </cell>
        </row>
        <row r="17">
          <cell r="B17" t="str">
            <v xml:space="preserve">      Goods Beyond the Custom Limit</v>
          </cell>
          <cell r="F17">
            <v>0</v>
          </cell>
        </row>
        <row r="18">
          <cell r="D18" t="str">
            <v>Freight</v>
          </cell>
          <cell r="G18">
            <v>2374777</v>
          </cell>
          <cell r="H18">
            <v>6991</v>
          </cell>
          <cell r="I18">
            <v>2381768</v>
          </cell>
        </row>
        <row r="19">
          <cell r="D19" t="str">
            <v>Insurance</v>
          </cell>
          <cell r="G19">
            <v>35448</v>
          </cell>
          <cell r="H19">
            <v>0</v>
          </cell>
          <cell r="I19">
            <v>35448</v>
          </cell>
        </row>
        <row r="20">
          <cell r="D20" t="str">
            <v>(B)</v>
          </cell>
          <cell r="G20">
            <v>2410225</v>
          </cell>
          <cell r="H20">
            <v>6991</v>
          </cell>
          <cell r="I20">
            <v>2417216</v>
          </cell>
        </row>
        <row r="21">
          <cell r="C21" t="str">
            <v>Total Turnover (A-B)</v>
          </cell>
          <cell r="G21">
            <v>35315501</v>
          </cell>
          <cell r="H21">
            <v>109811</v>
          </cell>
          <cell r="I21">
            <v>35425312</v>
          </cell>
        </row>
        <row r="22">
          <cell r="C22" t="str">
            <v xml:space="preserve">Export Turnover </v>
          </cell>
          <cell r="G22">
            <v>35315501</v>
          </cell>
          <cell r="H22">
            <v>109811</v>
          </cell>
          <cell r="I22">
            <v>35425312</v>
          </cell>
        </row>
        <row r="25">
          <cell r="B25" t="str">
            <v>DIRECT COST</v>
          </cell>
          <cell r="G25">
            <v>36097615.441343293</v>
          </cell>
          <cell r="H25">
            <v>184146.58235386317</v>
          </cell>
          <cell r="I25">
            <v>36281762.023697153</v>
          </cell>
        </row>
        <row r="28">
          <cell r="B28" t="str">
            <v>INDIRECT COST</v>
          </cell>
        </row>
        <row r="30">
          <cell r="B30" t="str">
            <v>Administrative Expenses</v>
          </cell>
          <cell r="I30">
            <v>574394.53</v>
          </cell>
        </row>
        <row r="31">
          <cell r="B31" t="str">
            <v>Selling Expenses</v>
          </cell>
          <cell r="I31">
            <v>542614.5</v>
          </cell>
        </row>
        <row r="32">
          <cell r="B32" t="str">
            <v>Financial Expenses</v>
          </cell>
          <cell r="I32">
            <v>548391.67999999993</v>
          </cell>
        </row>
        <row r="34">
          <cell r="E34" t="str">
            <v>Indirect Cost</v>
          </cell>
          <cell r="I34">
            <v>1665400.71</v>
          </cell>
        </row>
        <row r="36">
          <cell r="B36" t="str">
            <v>PROFIT OF TRADING GOODS</v>
          </cell>
        </row>
        <row r="38">
          <cell r="B38" t="str">
            <v>Export Sale (Trading Goods)</v>
          </cell>
          <cell r="I38">
            <v>35315501</v>
          </cell>
        </row>
        <row r="39">
          <cell r="B39" t="str">
            <v>Less : Direct Cost</v>
          </cell>
          <cell r="I39">
            <v>36097615.441343293</v>
          </cell>
        </row>
        <row r="40">
          <cell r="B40" t="str">
            <v>Less  :  Indirect Cost</v>
          </cell>
          <cell r="I40">
            <v>1660238.3188440432</v>
          </cell>
        </row>
        <row r="42">
          <cell r="B42" t="str">
            <v>PROFIT OF TRADING GOODS</v>
          </cell>
          <cell r="I42">
            <v>-2442352.7601873358</v>
          </cell>
        </row>
        <row r="44">
          <cell r="B44" t="str">
            <v>PROFIT OF THE BUSINESS</v>
          </cell>
        </row>
        <row r="46">
          <cell r="B46" t="str">
            <v>Net Profit As Per P&amp;L Account</v>
          </cell>
          <cell r="I46">
            <v>3566371.6300000027</v>
          </cell>
        </row>
        <row r="47">
          <cell r="B47" t="str">
            <v>Add  :  Depreciation As Per Companies Act</v>
          </cell>
          <cell r="I47">
            <v>0</v>
          </cell>
        </row>
        <row r="48">
          <cell r="I48">
            <v>3566371.6300000027</v>
          </cell>
        </row>
        <row r="49">
          <cell r="B49" t="str">
            <v>Less  :  Depriciation As per Income Tax Act</v>
          </cell>
          <cell r="H49">
            <v>0</v>
          </cell>
        </row>
        <row r="50">
          <cell r="B50" t="str">
            <v xml:space="preserve">               90% of Export Incentives</v>
          </cell>
          <cell r="H50">
            <v>5629104</v>
          </cell>
        </row>
        <row r="51">
          <cell r="I51">
            <v>5629104</v>
          </cell>
        </row>
        <row r="52">
          <cell r="D52" t="str">
            <v>Profit of the business</v>
          </cell>
          <cell r="I52">
            <v>-2062732.3699999973</v>
          </cell>
        </row>
        <row r="54">
          <cell r="B54" t="str">
            <v>ADJUSTED PROFIT OF THE BUSINESS</v>
          </cell>
        </row>
        <row r="56">
          <cell r="B56" t="str">
            <v>Profit of the business</v>
          </cell>
          <cell r="I56">
            <v>-2062732.3699999973</v>
          </cell>
        </row>
        <row r="57">
          <cell r="B57" t="str">
            <v>Less  :  Profit of trading goods</v>
          </cell>
          <cell r="I57">
            <v>-2442352.7601873358</v>
          </cell>
        </row>
        <row r="59">
          <cell r="C59" t="str">
            <v>ADJUSTED PROFIT OF THE BUSINESS</v>
          </cell>
          <cell r="I59">
            <v>379620.39018733846</v>
          </cell>
        </row>
        <row r="61">
          <cell r="B61" t="str">
            <v>DEDUCTION AVAILABLE UNDER SECTION 80HHC</v>
          </cell>
        </row>
        <row r="63">
          <cell r="B63" t="str">
            <v>Profit Of Trading Goods</v>
          </cell>
          <cell r="I63">
            <v>0</v>
          </cell>
        </row>
        <row r="64">
          <cell r="B64" t="str">
            <v>Adjusted Profit Of The Business</v>
          </cell>
          <cell r="I64">
            <v>379620.39018733846</v>
          </cell>
        </row>
        <row r="65">
          <cell r="B65" t="str">
            <v>90% of Export Incentives</v>
          </cell>
          <cell r="I65">
            <v>5629104</v>
          </cell>
        </row>
        <row r="67">
          <cell r="B67" t="str">
            <v>DEDUCTION UNDER SECTION 80HHC</v>
          </cell>
          <cell r="I67">
            <v>6008724.390187338</v>
          </cell>
        </row>
        <row r="69">
          <cell r="B69" t="str">
            <v>80% of DEDUCTION AVAILABLE UNDER SECTION 80HHC</v>
          </cell>
          <cell r="I69">
            <v>4806979.5121498704</v>
          </cell>
        </row>
      </sheetData>
      <sheetData sheetId="3"/>
      <sheetData sheetId="4" refreshError="1"/>
      <sheetData sheetId="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stic molded furniture"/>
      <sheetName val=" jobwork-val."/>
      <sheetName val="jobwork detail"/>
      <sheetName val="Rework"/>
      <sheetName val="bank stock 31.3.03"/>
      <sheetName val="rm &amp; pm Reco.&amp; val"/>
      <sheetName val="stock reco - excise"/>
      <sheetName val="FG valuation"/>
      <sheetName val="WORKING OF TDS"/>
      <sheetName val="TDS"/>
      <sheetName val="AS 31.3.2003"/>
      <sheetName val="AS 22 1.4.2002"/>
      <sheetName val="COMPENSATION"/>
      <sheetName val="bal sheet  31.3.03."/>
      <sheetName val="RATIOS"/>
      <sheetName val="COMPUTATION"/>
      <sheetName val="CO-DEP"/>
      <sheetName val="DEPN TAX"/>
      <sheetName val="Excise Reco.- duty"/>
      <sheetName val="I.T.Workings"/>
      <sheetName val="ELECTRICITY"/>
      <sheetName val="Stock"/>
      <sheetName val="workin"/>
      <sheetName val="Sheet2"/>
      <sheetName val="rough"/>
      <sheetName val="(EVL) compens."/>
      <sheetName val="work"/>
      <sheetName val="sch E ( a)"/>
      <sheetName val="working"/>
      <sheetName val="80HHC- f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sheetData sheetId="23" refreshError="1"/>
      <sheetData sheetId="24"/>
      <sheetData sheetId="25" refreshError="1"/>
      <sheetData sheetId="26" refreshError="1"/>
      <sheetData sheetId="27" refreshError="1"/>
      <sheetData sheetId="28" refreshError="1"/>
      <sheetData sheetId="2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9SS (final)"/>
      <sheetName val="269T(final)"/>
      <sheetName val="269T_final_"/>
      <sheetName val="Data for Multiple &amp; ratios"/>
    </sheetNames>
    <sheetDataSet>
      <sheetData sheetId="0"/>
      <sheetData sheetId="1"/>
      <sheetData sheetId="2"/>
      <sheetData sheetId="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J)"/>
      <sheetName val="tb"/>
    </sheetNames>
    <sheetDataSet>
      <sheetData sheetId="0" refreshError="1"/>
      <sheetData sheetId="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stic"/>
      <sheetName val="jobwork reco"/>
      <sheetName val=" jobwork-val."/>
      <sheetName val="RM"/>
      <sheetName val="FG valuation(nos.)"/>
      <sheetName val="Stock"/>
      <sheetName val="workin"/>
      <sheetName val="Sheet2"/>
      <sheetName val="rough"/>
      <sheetName val="(EVL) compens."/>
      <sheetName val="work"/>
      <sheetName val="sch E ( a)"/>
      <sheetName val="working"/>
      <sheetName val="BS &amp; Pr &amp; Loss"/>
      <sheetName val="BS 590"/>
    </sheetNames>
    <sheetDataSet>
      <sheetData sheetId="0"/>
      <sheetData sheetId="1"/>
      <sheetData sheetId="2"/>
      <sheetData sheetId="3"/>
      <sheetData sheetId="4" refreshError="1"/>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stic molded furniture"/>
      <sheetName val=" jobwork-val."/>
      <sheetName val="jobwork detail"/>
      <sheetName val="Rework"/>
      <sheetName val="bank stock 31.3.03"/>
      <sheetName val="rm &amp; pm Reco.&amp; val"/>
      <sheetName val="stock reco - excise"/>
      <sheetName val="FG valuation"/>
      <sheetName val="WORKING OF TDS"/>
      <sheetName val="TDS"/>
      <sheetName val="AS 31.3.2003"/>
      <sheetName val="AS 22 1.4.2002"/>
      <sheetName val="COMPENSATION"/>
      <sheetName val="bal sheet  31.3.03."/>
      <sheetName val="RATIOS"/>
      <sheetName val="COMPUTATION"/>
      <sheetName val="CO-DEP"/>
      <sheetName val="DEPN TAX"/>
      <sheetName val="Excise Reco.- duty"/>
      <sheetName val="I.T.Workings"/>
      <sheetName val="ELECTRICITY"/>
      <sheetName val="Stock"/>
      <sheetName val="workin"/>
      <sheetName val="Sheet2"/>
      <sheetName val="rough"/>
      <sheetName val="(EVL) compens."/>
      <sheetName val="work"/>
      <sheetName val="sch E ( a)"/>
      <sheetName val="working"/>
      <sheetName val="80HHC- f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sheetData sheetId="23" refreshError="1"/>
      <sheetData sheetId="24"/>
      <sheetData sheetId="25" refreshError="1"/>
      <sheetData sheetId="26" refreshError="1"/>
      <sheetData sheetId="27" refreshError="1"/>
      <sheetData sheetId="28" refreshError="1"/>
      <sheetData sheetId="2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ing"/>
    </sheetNames>
    <sheetDataSet>
      <sheetData sheetId="0" refreshError="1">
        <row r="540">
          <cell r="A540">
            <v>200000</v>
          </cell>
          <cell r="B540" t="str">
            <v>Loss On Sales Of Fixed Assets</v>
          </cell>
          <cell r="C540">
            <v>15657.47</v>
          </cell>
        </row>
        <row r="541">
          <cell r="A541">
            <v>201000</v>
          </cell>
          <cell r="B541" t="str">
            <v>Other non operating expenses</v>
          </cell>
          <cell r="C541">
            <v>13950</v>
          </cell>
        </row>
        <row r="542">
          <cell r="A542">
            <v>203000</v>
          </cell>
          <cell r="B542" t="str">
            <v>Bad Debts written off</v>
          </cell>
          <cell r="C542">
            <v>2482968.1800000002</v>
          </cell>
        </row>
        <row r="543">
          <cell r="A543">
            <v>203100</v>
          </cell>
          <cell r="B543" t="str">
            <v>Balances Written Off</v>
          </cell>
          <cell r="C543">
            <v>55200.2</v>
          </cell>
        </row>
        <row r="544">
          <cell r="A544">
            <v>203101</v>
          </cell>
          <cell r="B544" t="str">
            <v>Balances Written Back</v>
          </cell>
          <cell r="C544">
            <v>-1333882.21</v>
          </cell>
        </row>
        <row r="545">
          <cell r="A545">
            <v>211130</v>
          </cell>
          <cell r="B545" t="str">
            <v>Depreciation-plant and machinery</v>
          </cell>
          <cell r="C545">
            <v>1259185.01</v>
          </cell>
        </row>
        <row r="546">
          <cell r="A546">
            <v>211150</v>
          </cell>
          <cell r="B546" t="str">
            <v>Depreciation-Vehicles</v>
          </cell>
          <cell r="C546">
            <v>512313.66</v>
          </cell>
        </row>
        <row r="547">
          <cell r="A547">
            <v>211160</v>
          </cell>
          <cell r="B547" t="str">
            <v>Depreciation-office equipment</v>
          </cell>
          <cell r="C547">
            <v>594911.77</v>
          </cell>
        </row>
        <row r="548">
          <cell r="A548">
            <v>211180</v>
          </cell>
          <cell r="B548" t="str">
            <v>Depreciation -Computers</v>
          </cell>
          <cell r="C548">
            <v>4349481.34</v>
          </cell>
        </row>
        <row r="549">
          <cell r="A549">
            <v>211190</v>
          </cell>
          <cell r="B549" t="str">
            <v>Depreciation on furniture</v>
          </cell>
          <cell r="C549">
            <v>831805.58</v>
          </cell>
        </row>
        <row r="550">
          <cell r="A550">
            <v>211300</v>
          </cell>
          <cell r="B550" t="str">
            <v>Goodwill Written Off</v>
          </cell>
          <cell r="C550">
            <v>7692300</v>
          </cell>
        </row>
        <row r="551">
          <cell r="A551">
            <v>211310</v>
          </cell>
          <cell r="B551" t="str">
            <v>Business value W/Off</v>
          </cell>
          <cell r="C551">
            <v>13643100</v>
          </cell>
        </row>
        <row r="552">
          <cell r="A552">
            <v>211320</v>
          </cell>
          <cell r="B552" t="str">
            <v>Non-Compete fees W/off</v>
          </cell>
          <cell r="C552">
            <v>34463269.299999997</v>
          </cell>
        </row>
        <row r="553">
          <cell r="A553">
            <v>211330</v>
          </cell>
          <cell r="B553" t="str">
            <v>Software Written Off</v>
          </cell>
          <cell r="C553">
            <v>1216045.05</v>
          </cell>
        </row>
        <row r="554">
          <cell r="A554">
            <v>211340</v>
          </cell>
          <cell r="B554" t="str">
            <v>Comm.righ Written Off</v>
          </cell>
          <cell r="C554">
            <v>5563880.2300000004</v>
          </cell>
        </row>
        <row r="555">
          <cell r="A555">
            <v>220100</v>
          </cell>
          <cell r="B555" t="str">
            <v>Interest Foreign Currency Loans. (Group</v>
          </cell>
          <cell r="C555">
            <v>7408030.9900000002</v>
          </cell>
        </row>
        <row r="556">
          <cell r="A556">
            <v>220210</v>
          </cell>
          <cell r="B556" t="str">
            <v>Interest Term Loan</v>
          </cell>
          <cell r="C556">
            <v>14430890.359999999</v>
          </cell>
        </row>
        <row r="557">
          <cell r="A557">
            <v>220220</v>
          </cell>
          <cell r="B557" t="str">
            <v>Interest Packing Credit</v>
          </cell>
          <cell r="C557">
            <v>848394.46</v>
          </cell>
        </row>
        <row r="558">
          <cell r="A558">
            <v>220230</v>
          </cell>
          <cell r="B558" t="str">
            <v>Interest Cash Credit</v>
          </cell>
          <cell r="C558">
            <v>107741.02</v>
          </cell>
        </row>
        <row r="559">
          <cell r="A559">
            <v>220300</v>
          </cell>
          <cell r="B559" t="str">
            <v>Interest - Others</v>
          </cell>
          <cell r="C559">
            <v>-2475375.92</v>
          </cell>
        </row>
        <row r="560">
          <cell r="A560">
            <v>220301</v>
          </cell>
          <cell r="B560" t="str">
            <v>interest subsidy for staff welfare</v>
          </cell>
          <cell r="C560">
            <v>2651</v>
          </cell>
        </row>
        <row r="561">
          <cell r="A561">
            <v>220310</v>
          </cell>
          <cell r="B561" t="str">
            <v>Int.on Security Dep.</v>
          </cell>
          <cell r="C561">
            <v>2334353</v>
          </cell>
        </row>
        <row r="562">
          <cell r="A562">
            <v>221010</v>
          </cell>
          <cell r="B562" t="str">
            <v>Interest on Bills Discounted/Purchased</v>
          </cell>
          <cell r="C562">
            <v>703416.84</v>
          </cell>
        </row>
        <row r="563">
          <cell r="A563">
            <v>221020</v>
          </cell>
          <cell r="B563" t="str">
            <v>Bank collection charges</v>
          </cell>
          <cell r="C563">
            <v>155504.14000000001</v>
          </cell>
        </row>
        <row r="564">
          <cell r="A564">
            <v>221030</v>
          </cell>
          <cell r="B564" t="str">
            <v>Bank Charges D/D.</v>
          </cell>
          <cell r="C564">
            <v>167325.81</v>
          </cell>
        </row>
        <row r="565">
          <cell r="A565">
            <v>221040</v>
          </cell>
          <cell r="B565" t="str">
            <v>Bank Charges Remittances.</v>
          </cell>
          <cell r="C565">
            <v>383883.28</v>
          </cell>
        </row>
        <row r="566">
          <cell r="A566">
            <v>221050</v>
          </cell>
          <cell r="B566" t="str">
            <v>Bank Charges Others.</v>
          </cell>
          <cell r="C566">
            <v>1210983.94</v>
          </cell>
        </row>
        <row r="567">
          <cell r="A567">
            <v>230000</v>
          </cell>
          <cell r="B567" t="str">
            <v>Exchange loss  operating activities - r</v>
          </cell>
          <cell r="C567">
            <v>2908771.96</v>
          </cell>
        </row>
        <row r="568">
          <cell r="A568">
            <v>230010</v>
          </cell>
          <cell r="B568" t="str">
            <v>Valuation Loss-Operating activities</v>
          </cell>
          <cell r="C568">
            <v>355598.29</v>
          </cell>
        </row>
        <row r="569">
          <cell r="A569">
            <v>230011</v>
          </cell>
          <cell r="B569" t="str">
            <v>Exchange Loss Non Operating Unrealised</v>
          </cell>
          <cell r="C569">
            <v>6780000.8100000005</v>
          </cell>
        </row>
        <row r="570">
          <cell r="A570">
            <v>231000</v>
          </cell>
          <cell r="B570" t="str">
            <v>Price Diffrences - Raw Materials</v>
          </cell>
          <cell r="C570">
            <v>-141985.79</v>
          </cell>
        </row>
        <row r="571">
          <cell r="A571">
            <v>231030</v>
          </cell>
          <cell r="B571" t="str">
            <v>Price Difference-TRADING</v>
          </cell>
          <cell r="C571">
            <v>-3132304.12</v>
          </cell>
        </row>
        <row r="572">
          <cell r="A572">
            <v>231500</v>
          </cell>
          <cell r="B572" t="str">
            <v>Loss-internal product price differences</v>
          </cell>
          <cell r="C572">
            <v>754290.06</v>
          </cell>
        </row>
        <row r="573">
          <cell r="A573">
            <v>231600</v>
          </cell>
          <cell r="B573" t="str">
            <v>Repacking Charges-CCL</v>
          </cell>
          <cell r="C573">
            <v>149000</v>
          </cell>
        </row>
        <row r="574">
          <cell r="A574">
            <v>231800</v>
          </cell>
          <cell r="B574" t="str">
            <v>DEPB Utilised account - Trading</v>
          </cell>
          <cell r="C574">
            <v>4210947.71</v>
          </cell>
        </row>
        <row r="575">
          <cell r="A575">
            <v>231900</v>
          </cell>
          <cell r="B575" t="str">
            <v>Material Small Differences Rm PM Traded</v>
          </cell>
          <cell r="C575">
            <v>-15.75</v>
          </cell>
        </row>
        <row r="576">
          <cell r="A576">
            <v>232000</v>
          </cell>
          <cell r="B576" t="str">
            <v>NRV-W/off RM &amp; Trading</v>
          </cell>
          <cell r="C576">
            <v>-1136860</v>
          </cell>
        </row>
        <row r="577">
          <cell r="A577">
            <v>232500</v>
          </cell>
          <cell r="B577" t="str">
            <v>NRV-W/off-FG &amp;SFG</v>
          </cell>
          <cell r="C577">
            <v>2630654.25</v>
          </cell>
        </row>
        <row r="578">
          <cell r="A578">
            <v>233000</v>
          </cell>
          <cell r="B578" t="str">
            <v>Physical Stock Difference Raw Materials</v>
          </cell>
          <cell r="C578">
            <v>-2191838.7999999998</v>
          </cell>
        </row>
        <row r="579">
          <cell r="A579">
            <v>233792</v>
          </cell>
          <cell r="B579" t="str">
            <v>Physical Stock Difference Finished Good</v>
          </cell>
          <cell r="C579">
            <v>13439.18</v>
          </cell>
        </row>
        <row r="580">
          <cell r="A580">
            <v>241000</v>
          </cell>
          <cell r="B580" t="str">
            <v>Corporate income tax expense</v>
          </cell>
          <cell r="C580">
            <v>27845000</v>
          </cell>
        </row>
        <row r="581">
          <cell r="A581">
            <v>241002</v>
          </cell>
          <cell r="B581" t="str">
            <v>Deferred Tax Expense 2000</v>
          </cell>
          <cell r="C581">
            <v>-605000</v>
          </cell>
        </row>
        <row r="582">
          <cell r="A582">
            <v>250000</v>
          </cell>
          <cell r="B582" t="str">
            <v>Gain-fixed asset retirement</v>
          </cell>
          <cell r="C582">
            <v>-63443.08</v>
          </cell>
        </row>
        <row r="583">
          <cell r="A583">
            <v>251000</v>
          </cell>
          <cell r="B583" t="str">
            <v>Other Non Operating Income</v>
          </cell>
          <cell r="C583">
            <v>37178.19</v>
          </cell>
        </row>
        <row r="584">
          <cell r="A584">
            <v>274000</v>
          </cell>
          <cell r="B584" t="str">
            <v>Int.Received Banks</v>
          </cell>
          <cell r="C584">
            <v>-13427.27</v>
          </cell>
        </row>
        <row r="585">
          <cell r="A585">
            <v>274100</v>
          </cell>
          <cell r="B585" t="str">
            <v>Int Received-Deposit</v>
          </cell>
          <cell r="C585">
            <v>-105569</v>
          </cell>
        </row>
        <row r="586">
          <cell r="A586">
            <v>275120</v>
          </cell>
          <cell r="B586" t="str">
            <v>Interest on overdue bills -customers</v>
          </cell>
          <cell r="C586">
            <v>-3495664.94</v>
          </cell>
        </row>
        <row r="587">
          <cell r="A587">
            <v>276000</v>
          </cell>
          <cell r="B587" t="str">
            <v>Cash discount received</v>
          </cell>
          <cell r="C587">
            <v>-1258422.8799999999</v>
          </cell>
        </row>
        <row r="588">
          <cell r="A588">
            <v>276001</v>
          </cell>
          <cell r="B588" t="str">
            <v>Trade Discount Recd.-frm Germany(Purcha</v>
          </cell>
          <cell r="C588">
            <v>-4722160.8600000003</v>
          </cell>
        </row>
        <row r="589">
          <cell r="A589">
            <v>276002</v>
          </cell>
          <cell r="B589" t="str">
            <v>Trade Discount Recd.-on stock taken ove</v>
          </cell>
          <cell r="C589">
            <v>-898995.92</v>
          </cell>
        </row>
        <row r="590">
          <cell r="A590">
            <v>280000</v>
          </cell>
          <cell r="B590" t="str">
            <v>Gain-exchange rate differences</v>
          </cell>
          <cell r="C590">
            <v>-2239701.2799999998</v>
          </cell>
        </row>
        <row r="591">
          <cell r="A591">
            <v>280001</v>
          </cell>
          <cell r="B591" t="str">
            <v>Exchange Gains from non operating activ</v>
          </cell>
          <cell r="C591">
            <v>-336206.76</v>
          </cell>
        </row>
        <row r="592">
          <cell r="A592">
            <v>280010</v>
          </cell>
          <cell r="B592" t="str">
            <v>Exchange Rate Gains from operating acti</v>
          </cell>
          <cell r="C592">
            <v>155514.35999999999</v>
          </cell>
        </row>
        <row r="593">
          <cell r="A593">
            <v>280011</v>
          </cell>
          <cell r="B593" t="str">
            <v>Exc.gains Non-Op.Unrealized</v>
          </cell>
          <cell r="C593">
            <v>0</v>
          </cell>
        </row>
        <row r="594">
          <cell r="A594">
            <v>299010</v>
          </cell>
          <cell r="B594" t="str">
            <v>Insurance claim Received</v>
          </cell>
          <cell r="C594">
            <v>-242214</v>
          </cell>
        </row>
        <row r="595">
          <cell r="A595">
            <v>400000</v>
          </cell>
          <cell r="B595" t="str">
            <v>Consumption-Raw Material</v>
          </cell>
          <cell r="C595">
            <v>195748707.42000002</v>
          </cell>
        </row>
        <row r="596">
          <cell r="A596">
            <v>400010</v>
          </cell>
          <cell r="B596" t="str">
            <v>Consumption-Raw Material Imported</v>
          </cell>
          <cell r="C596">
            <v>3345976.35</v>
          </cell>
        </row>
        <row r="597">
          <cell r="A597">
            <v>400020</v>
          </cell>
          <cell r="B597" t="str">
            <v>Mater. consumed-R.M AND P.M W/O COST EL</v>
          </cell>
          <cell r="C597">
            <v>6667166.0200000005</v>
          </cell>
        </row>
        <row r="598">
          <cell r="A598">
            <v>400040</v>
          </cell>
          <cell r="B598" t="str">
            <v>Cost of purchase-BASF</v>
          </cell>
          <cell r="C598">
            <v>-784332</v>
          </cell>
        </row>
        <row r="599">
          <cell r="A599">
            <v>405000</v>
          </cell>
          <cell r="B599" t="str">
            <v>Consumption - Packing Material</v>
          </cell>
          <cell r="C599">
            <v>13575950.300000001</v>
          </cell>
        </row>
        <row r="600">
          <cell r="A600">
            <v>417000</v>
          </cell>
          <cell r="B600" t="str">
            <v>Conversion Cost - Variable</v>
          </cell>
          <cell r="C600">
            <v>33772000</v>
          </cell>
        </row>
        <row r="601">
          <cell r="A601">
            <v>417001</v>
          </cell>
          <cell r="B601" t="str">
            <v>Conversion Cost - Fixed</v>
          </cell>
          <cell r="C601">
            <v>78731000</v>
          </cell>
        </row>
        <row r="602">
          <cell r="A602">
            <v>430000</v>
          </cell>
          <cell r="B602" t="str">
            <v>Salaries</v>
          </cell>
          <cell r="C602">
            <v>6427686</v>
          </cell>
        </row>
        <row r="603">
          <cell r="A603">
            <v>430010</v>
          </cell>
          <cell r="B603" t="str">
            <v>Stipends</v>
          </cell>
          <cell r="C603">
            <v>11000</v>
          </cell>
        </row>
        <row r="604">
          <cell r="A604">
            <v>430020</v>
          </cell>
          <cell r="B604" t="str">
            <v>M.D's Salary</v>
          </cell>
          <cell r="C604">
            <v>974280</v>
          </cell>
        </row>
        <row r="605">
          <cell r="A605">
            <v>430040</v>
          </cell>
          <cell r="B605" t="str">
            <v>M.D's Leave Travelling</v>
          </cell>
          <cell r="C605">
            <v>190755</v>
          </cell>
        </row>
        <row r="606">
          <cell r="A606">
            <v>430050</v>
          </cell>
          <cell r="B606" t="str">
            <v>M.D's Electricity</v>
          </cell>
          <cell r="C606">
            <v>165478.1</v>
          </cell>
        </row>
        <row r="607">
          <cell r="A607">
            <v>430060</v>
          </cell>
          <cell r="B607" t="str">
            <v>Managing Directors Remuneration -Others</v>
          </cell>
          <cell r="C607">
            <v>197933</v>
          </cell>
        </row>
        <row r="608">
          <cell r="A608">
            <v>430070</v>
          </cell>
          <cell r="B608" t="str">
            <v>M.D's HRA</v>
          </cell>
          <cell r="C608">
            <v>486410</v>
          </cell>
        </row>
        <row r="609">
          <cell r="A609">
            <v>430090</v>
          </cell>
          <cell r="B609" t="str">
            <v>gifts</v>
          </cell>
          <cell r="C609">
            <v>100000</v>
          </cell>
        </row>
        <row r="610">
          <cell r="A610">
            <v>430100</v>
          </cell>
          <cell r="B610" t="str">
            <v>Conveyance-Salaries</v>
          </cell>
          <cell r="C610">
            <v>414773</v>
          </cell>
        </row>
        <row r="611">
          <cell r="A611">
            <v>430110</v>
          </cell>
          <cell r="B611" t="str">
            <v>HRA</v>
          </cell>
          <cell r="C611">
            <v>1269677</v>
          </cell>
        </row>
        <row r="612">
          <cell r="A612">
            <v>430120</v>
          </cell>
          <cell r="B612" t="str">
            <v>Lunch</v>
          </cell>
          <cell r="C612">
            <v>240455</v>
          </cell>
        </row>
        <row r="613">
          <cell r="A613">
            <v>430130</v>
          </cell>
          <cell r="B613" t="str">
            <v>Reimbursement of Interest cost to Emplo</v>
          </cell>
          <cell r="C613">
            <v>34844</v>
          </cell>
        </row>
        <row r="614">
          <cell r="A614">
            <v>432000</v>
          </cell>
          <cell r="B614" t="str">
            <v>Leave Encashment</v>
          </cell>
          <cell r="C614">
            <v>-588955</v>
          </cell>
        </row>
        <row r="615">
          <cell r="A615">
            <v>433000</v>
          </cell>
          <cell r="B615" t="str">
            <v>Reimbursement of Medical Staff.</v>
          </cell>
          <cell r="C615">
            <v>535452.97</v>
          </cell>
        </row>
        <row r="616">
          <cell r="A616">
            <v>433020</v>
          </cell>
          <cell r="B616" t="str">
            <v>Medical Aid Medicines.</v>
          </cell>
          <cell r="C616">
            <v>5800</v>
          </cell>
        </row>
        <row r="617">
          <cell r="A617">
            <v>433030</v>
          </cell>
          <cell r="B617" t="str">
            <v>Welfare Expenses Parties.</v>
          </cell>
          <cell r="C617">
            <v>329874.44</v>
          </cell>
        </row>
        <row r="618">
          <cell r="A618">
            <v>433040</v>
          </cell>
          <cell r="B618" t="str">
            <v>Welfare Exp.canteen</v>
          </cell>
          <cell r="C618">
            <v>141306.5</v>
          </cell>
        </row>
        <row r="619">
          <cell r="A619">
            <v>433050</v>
          </cell>
          <cell r="B619" t="str">
            <v>Welfare ExpTransport</v>
          </cell>
          <cell r="C619">
            <v>818825.5</v>
          </cell>
        </row>
        <row r="620">
          <cell r="A620">
            <v>433060</v>
          </cell>
          <cell r="B620" t="str">
            <v>Welfare Exp.Other</v>
          </cell>
          <cell r="C620">
            <v>348195.32</v>
          </cell>
        </row>
        <row r="621">
          <cell r="A621">
            <v>434000</v>
          </cell>
          <cell r="B621" t="str">
            <v>LTA-Staff</v>
          </cell>
          <cell r="C621">
            <v>604937</v>
          </cell>
        </row>
        <row r="622">
          <cell r="A622">
            <v>435000</v>
          </cell>
          <cell r="B622" t="str">
            <v>Ex-Gratia</v>
          </cell>
          <cell r="C622">
            <v>2842904</v>
          </cell>
        </row>
        <row r="623">
          <cell r="A623">
            <v>445000</v>
          </cell>
          <cell r="B623" t="str">
            <v>Company Cont. to Family Pension Fund</v>
          </cell>
          <cell r="C623">
            <v>108193</v>
          </cell>
        </row>
        <row r="624">
          <cell r="A624">
            <v>445010</v>
          </cell>
          <cell r="B624" t="str">
            <v>Contribution to P.F</v>
          </cell>
          <cell r="C624">
            <v>236768</v>
          </cell>
        </row>
        <row r="625">
          <cell r="A625">
            <v>445020</v>
          </cell>
          <cell r="B625" t="str">
            <v>Cont. to Gratuity</v>
          </cell>
          <cell r="C625">
            <v>228149</v>
          </cell>
        </row>
        <row r="626">
          <cell r="A626">
            <v>445030</v>
          </cell>
          <cell r="B626" t="str">
            <v>Admn.chg. P.F</v>
          </cell>
          <cell r="C626">
            <v>31752</v>
          </cell>
        </row>
        <row r="627">
          <cell r="A627">
            <v>445040</v>
          </cell>
          <cell r="B627" t="str">
            <v>EDLI ContributionPF</v>
          </cell>
          <cell r="C627">
            <v>7264</v>
          </cell>
        </row>
        <row r="628">
          <cell r="A628">
            <v>445050</v>
          </cell>
          <cell r="B628" t="str">
            <v>Cont.superannuation</v>
          </cell>
          <cell r="C628">
            <v>1148880</v>
          </cell>
        </row>
        <row r="629">
          <cell r="A629">
            <v>445060</v>
          </cell>
          <cell r="B629" t="str">
            <v>E.S.I.C Contribution</v>
          </cell>
          <cell r="C629">
            <v>6582</v>
          </cell>
        </row>
        <row r="630">
          <cell r="A630">
            <v>447000</v>
          </cell>
          <cell r="B630" t="str">
            <v>Reimbursement Mediclaim</v>
          </cell>
          <cell r="C630">
            <v>135596</v>
          </cell>
        </row>
        <row r="631">
          <cell r="A631">
            <v>447010</v>
          </cell>
          <cell r="B631" t="str">
            <v>Welfare expInsurance</v>
          </cell>
          <cell r="C631">
            <v>84638</v>
          </cell>
        </row>
        <row r="632">
          <cell r="A632">
            <v>451000</v>
          </cell>
          <cell r="B632" t="str">
            <v>Repairs Building(Office)</v>
          </cell>
          <cell r="C632">
            <v>168764</v>
          </cell>
        </row>
        <row r="633">
          <cell r="A633">
            <v>451100</v>
          </cell>
          <cell r="B633" t="str">
            <v>Repairs-Building-Res</v>
          </cell>
          <cell r="C633">
            <v>1225</v>
          </cell>
        </row>
        <row r="634">
          <cell r="A634">
            <v>452010</v>
          </cell>
          <cell r="B634" t="str">
            <v>Repairs &amp; Maintenance - Vehicles</v>
          </cell>
          <cell r="C634">
            <v>202479</v>
          </cell>
        </row>
        <row r="635">
          <cell r="A635">
            <v>452020</v>
          </cell>
          <cell r="B635" t="str">
            <v>R&amp;M Office Equipmen</v>
          </cell>
          <cell r="C635">
            <v>168418.8</v>
          </cell>
        </row>
        <row r="636">
          <cell r="A636">
            <v>452030</v>
          </cell>
          <cell r="B636" t="str">
            <v>R&amp;M Computers</v>
          </cell>
          <cell r="C636">
            <v>177880</v>
          </cell>
        </row>
        <row r="637">
          <cell r="A637">
            <v>452040</v>
          </cell>
          <cell r="B637" t="str">
            <v>R&amp;M Others</v>
          </cell>
          <cell r="C637">
            <v>100736</v>
          </cell>
        </row>
        <row r="638">
          <cell r="A638">
            <v>452050</v>
          </cell>
          <cell r="B638" t="str">
            <v>Software modification chg -for connecti</v>
          </cell>
          <cell r="C638">
            <v>1053740</v>
          </cell>
        </row>
        <row r="639">
          <cell r="A639">
            <v>460200</v>
          </cell>
          <cell r="B639" t="str">
            <v>Sales Tax Expense</v>
          </cell>
          <cell r="C639">
            <v>-271335</v>
          </cell>
        </row>
        <row r="640">
          <cell r="A640">
            <v>464000</v>
          </cell>
          <cell r="B640" t="str">
            <v>Motor Vehicle Expenses Taxes.</v>
          </cell>
          <cell r="C640">
            <v>9927</v>
          </cell>
        </row>
        <row r="641">
          <cell r="A641">
            <v>465000</v>
          </cell>
          <cell r="B641" t="str">
            <v>Excise duty paid</v>
          </cell>
          <cell r="C641">
            <v>48131814.890000001</v>
          </cell>
        </row>
        <row r="642">
          <cell r="A642">
            <v>465050</v>
          </cell>
          <cell r="B642" t="str">
            <v>Rates &amp; Taxes Others</v>
          </cell>
          <cell r="C642">
            <v>153522</v>
          </cell>
        </row>
        <row r="643">
          <cell r="A643">
            <v>466010</v>
          </cell>
          <cell r="B643" t="str">
            <v>Insurance Fixed Assets- Fire policy 'A'</v>
          </cell>
          <cell r="C643">
            <v>89406</v>
          </cell>
        </row>
        <row r="644">
          <cell r="A644">
            <v>466020</v>
          </cell>
          <cell r="B644" t="str">
            <v>Fire insurance - Finished Goods - fire</v>
          </cell>
          <cell r="C644">
            <v>897161</v>
          </cell>
        </row>
        <row r="645">
          <cell r="A645">
            <v>466030</v>
          </cell>
          <cell r="B645" t="str">
            <v>Transit Insurance - Exports- Marine &amp; A</v>
          </cell>
          <cell r="C645">
            <v>25015</v>
          </cell>
        </row>
        <row r="646">
          <cell r="A646">
            <v>466040</v>
          </cell>
          <cell r="B646" t="str">
            <v>Transit Insurance - Local-special decla</v>
          </cell>
          <cell r="C646">
            <v>308438</v>
          </cell>
        </row>
        <row r="647">
          <cell r="A647">
            <v>470050</v>
          </cell>
          <cell r="B647" t="str">
            <v>Operating Cost-CCL</v>
          </cell>
          <cell r="C647">
            <v>240000</v>
          </cell>
        </row>
        <row r="648">
          <cell r="A648">
            <v>471010</v>
          </cell>
          <cell r="B648" t="str">
            <v>Rent-Office Building</v>
          </cell>
          <cell r="C648">
            <v>4142130</v>
          </cell>
        </row>
        <row r="649">
          <cell r="A649">
            <v>471030</v>
          </cell>
          <cell r="B649" t="str">
            <v>Lease Rent Vehicles.</v>
          </cell>
          <cell r="C649">
            <v>2114273</v>
          </cell>
        </row>
        <row r="650">
          <cell r="A650">
            <v>471040</v>
          </cell>
          <cell r="B650" t="str">
            <v>Lease Rent Computers</v>
          </cell>
          <cell r="C650">
            <v>85176</v>
          </cell>
        </row>
        <row r="651">
          <cell r="A651">
            <v>471050</v>
          </cell>
          <cell r="B651" t="str">
            <v>Vehicle Hire Charges.</v>
          </cell>
          <cell r="C651">
            <v>63262</v>
          </cell>
        </row>
        <row r="652">
          <cell r="A652">
            <v>472000</v>
          </cell>
          <cell r="B652" t="str">
            <v>Freight Charge-FG</v>
          </cell>
          <cell r="C652">
            <v>3097718.78</v>
          </cell>
        </row>
        <row r="653">
          <cell r="A653">
            <v>472010</v>
          </cell>
          <cell r="B653" t="str">
            <v>Octroi on FG</v>
          </cell>
          <cell r="C653">
            <v>2170895.27</v>
          </cell>
        </row>
        <row r="654">
          <cell r="A654">
            <v>472020</v>
          </cell>
          <cell r="B654" t="str">
            <v>Freight Chg-others</v>
          </cell>
          <cell r="C654">
            <v>190690.24</v>
          </cell>
        </row>
        <row r="655">
          <cell r="A655">
            <v>472030</v>
          </cell>
          <cell r="B655" t="str">
            <v>Freight Chg.Exports</v>
          </cell>
          <cell r="C655">
            <v>1688777</v>
          </cell>
        </row>
        <row r="656">
          <cell r="A656">
            <v>472040</v>
          </cell>
          <cell r="B656" t="str">
            <v>C&amp;Fagents Commission</v>
          </cell>
          <cell r="C656">
            <v>6841582</v>
          </cell>
        </row>
        <row r="657">
          <cell r="A657">
            <v>472050</v>
          </cell>
          <cell r="B657" t="str">
            <v>C&amp;F Agents Charges</v>
          </cell>
          <cell r="C657">
            <v>93235.85</v>
          </cell>
        </row>
        <row r="658">
          <cell r="A658">
            <v>472060</v>
          </cell>
          <cell r="B658" t="str">
            <v>Export expenses</v>
          </cell>
          <cell r="C658">
            <v>1618410.22</v>
          </cell>
        </row>
        <row r="659">
          <cell r="A659">
            <v>472080</v>
          </cell>
          <cell r="B659" t="str">
            <v>C&amp;F agent Chg.Exports</v>
          </cell>
          <cell r="C659">
            <v>377339</v>
          </cell>
        </row>
        <row r="660">
          <cell r="A660">
            <v>473000</v>
          </cell>
          <cell r="B660" t="str">
            <v>Postage Courier.</v>
          </cell>
          <cell r="C660">
            <v>643144.54</v>
          </cell>
        </row>
        <row r="661">
          <cell r="A661">
            <v>473120</v>
          </cell>
          <cell r="B661" t="str">
            <v>Telecommunication Telephone</v>
          </cell>
          <cell r="C661">
            <v>2190153.09</v>
          </cell>
        </row>
        <row r="662">
          <cell r="A662">
            <v>473130</v>
          </cell>
          <cell r="B662" t="str">
            <v>E-mail/Internet  Charges</v>
          </cell>
          <cell r="C662">
            <v>24926</v>
          </cell>
        </row>
        <row r="663">
          <cell r="A663">
            <v>474210</v>
          </cell>
          <cell r="B663" t="str">
            <v>Travelling Boarding &amp; Lodging.</v>
          </cell>
          <cell r="C663">
            <v>1042819.13</v>
          </cell>
        </row>
        <row r="664">
          <cell r="A664">
            <v>474220</v>
          </cell>
          <cell r="B664" t="str">
            <v>Travelling Outstation Allowance</v>
          </cell>
          <cell r="C664">
            <v>3365</v>
          </cell>
        </row>
        <row r="665">
          <cell r="A665">
            <v>474230</v>
          </cell>
          <cell r="B665" t="str">
            <v>Travelling Foreign Fare.</v>
          </cell>
          <cell r="C665">
            <v>1329090.75</v>
          </cell>
        </row>
        <row r="666">
          <cell r="A666">
            <v>474235</v>
          </cell>
          <cell r="B666" t="str">
            <v>Travelling Local Fare.</v>
          </cell>
          <cell r="C666">
            <v>2196982.23</v>
          </cell>
        </row>
        <row r="667">
          <cell r="A667">
            <v>474240</v>
          </cell>
          <cell r="B667" t="str">
            <v>Travelling Expenses Others</v>
          </cell>
          <cell r="C667">
            <v>158299.76</v>
          </cell>
        </row>
        <row r="668">
          <cell r="A668">
            <v>474260</v>
          </cell>
          <cell r="B668" t="str">
            <v>Travelling Foreign Exchange.</v>
          </cell>
          <cell r="C668">
            <v>555275.72</v>
          </cell>
        </row>
        <row r="669">
          <cell r="A669">
            <v>474270</v>
          </cell>
          <cell r="B669" t="str">
            <v>Conveyance Local</v>
          </cell>
          <cell r="C669">
            <v>925281</v>
          </cell>
        </row>
        <row r="670">
          <cell r="A670">
            <v>474275</v>
          </cell>
          <cell r="B670" t="str">
            <v>Conveyance Outstation.</v>
          </cell>
          <cell r="C670">
            <v>120523</v>
          </cell>
        </row>
        <row r="671">
          <cell r="A671">
            <v>474500</v>
          </cell>
          <cell r="B671" t="str">
            <v>Lunch on Office Duty.</v>
          </cell>
          <cell r="C671">
            <v>26967</v>
          </cell>
        </row>
        <row r="672">
          <cell r="A672">
            <v>474510</v>
          </cell>
          <cell r="B672" t="str">
            <v>M.D's House main</v>
          </cell>
          <cell r="C672">
            <v>14400</v>
          </cell>
        </row>
        <row r="673">
          <cell r="A673">
            <v>474520</v>
          </cell>
          <cell r="B673" t="str">
            <v>Entertainment Exp.</v>
          </cell>
          <cell r="C673">
            <v>284116</v>
          </cell>
        </row>
        <row r="674">
          <cell r="A674">
            <v>474530</v>
          </cell>
          <cell r="B674" t="str">
            <v>Credit Card Fees</v>
          </cell>
          <cell r="C674">
            <v>22168</v>
          </cell>
        </row>
        <row r="675">
          <cell r="A675">
            <v>475000</v>
          </cell>
          <cell r="B675" t="str">
            <v>Vehicle costs</v>
          </cell>
          <cell r="C675">
            <v>0</v>
          </cell>
        </row>
        <row r="676">
          <cell r="A676">
            <v>476000</v>
          </cell>
          <cell r="B676" t="str">
            <v>Printing  - Invoices &amp; Forms.</v>
          </cell>
          <cell r="C676">
            <v>241305</v>
          </cell>
        </row>
        <row r="677">
          <cell r="A677">
            <v>476010</v>
          </cell>
          <cell r="B677" t="str">
            <v>Printing -Xerox.</v>
          </cell>
          <cell r="C677">
            <v>839</v>
          </cell>
        </row>
        <row r="678">
          <cell r="A678">
            <v>476020</v>
          </cell>
          <cell r="B678" t="str">
            <v>Printing -Others.</v>
          </cell>
          <cell r="C678">
            <v>8982</v>
          </cell>
        </row>
        <row r="679">
          <cell r="A679">
            <v>476030</v>
          </cell>
          <cell r="B679" t="str">
            <v>Stationery Computer</v>
          </cell>
          <cell r="C679">
            <v>239332</v>
          </cell>
        </row>
        <row r="680">
          <cell r="A680">
            <v>476040</v>
          </cell>
          <cell r="B680" t="str">
            <v>Stationery Pre-printed</v>
          </cell>
          <cell r="C680">
            <v>210362</v>
          </cell>
        </row>
        <row r="681">
          <cell r="A681">
            <v>476050</v>
          </cell>
          <cell r="B681" t="str">
            <v>stationery-others</v>
          </cell>
          <cell r="C681">
            <v>225344.25</v>
          </cell>
        </row>
        <row r="682">
          <cell r="A682">
            <v>476200</v>
          </cell>
          <cell r="B682" t="str">
            <v>Office &amp; Other Expenses House keeping.</v>
          </cell>
          <cell r="C682">
            <v>752531.5</v>
          </cell>
        </row>
        <row r="683">
          <cell r="A683">
            <v>476210</v>
          </cell>
          <cell r="B683" t="str">
            <v>Office &amp; Other Expenses Petty Purchases</v>
          </cell>
          <cell r="C683">
            <v>176888.28</v>
          </cell>
        </row>
        <row r="684">
          <cell r="A684">
            <v>476300</v>
          </cell>
          <cell r="B684" t="str">
            <v>Books&amp;Subs-Books</v>
          </cell>
          <cell r="C684">
            <v>8260</v>
          </cell>
        </row>
        <row r="685">
          <cell r="A685">
            <v>476310</v>
          </cell>
          <cell r="B685" t="str">
            <v>Books&amp;Subs-Memb.Fees</v>
          </cell>
          <cell r="C685">
            <v>60029.63</v>
          </cell>
        </row>
        <row r="686">
          <cell r="A686">
            <v>476420</v>
          </cell>
          <cell r="B686" t="str">
            <v>Prof.Chg.EDP</v>
          </cell>
          <cell r="C686">
            <v>1738446.83</v>
          </cell>
        </row>
        <row r="687">
          <cell r="A687">
            <v>476430</v>
          </cell>
          <cell r="B687" t="str">
            <v>Prof.chg.recruitment</v>
          </cell>
          <cell r="C687">
            <v>45675</v>
          </cell>
        </row>
        <row r="688">
          <cell r="A688">
            <v>476440</v>
          </cell>
          <cell r="B688" t="str">
            <v>Prof.chg-Sales tax</v>
          </cell>
          <cell r="C688">
            <v>0</v>
          </cell>
        </row>
        <row r="689">
          <cell r="A689">
            <v>476450</v>
          </cell>
          <cell r="B689" t="str">
            <v>ProfChgcertification</v>
          </cell>
          <cell r="C689">
            <v>500</v>
          </cell>
        </row>
        <row r="690">
          <cell r="A690">
            <v>476460</v>
          </cell>
          <cell r="B690" t="str">
            <v>Prof.Chg.Consultants</v>
          </cell>
          <cell r="C690">
            <v>495509</v>
          </cell>
        </row>
        <row r="691">
          <cell r="A691">
            <v>476470</v>
          </cell>
          <cell r="B691" t="str">
            <v>Professional Charges-Others</v>
          </cell>
          <cell r="C691">
            <v>0</v>
          </cell>
        </row>
        <row r="692">
          <cell r="A692">
            <v>476600</v>
          </cell>
          <cell r="B692" t="str">
            <v>Electricity Charges.</v>
          </cell>
          <cell r="C692">
            <v>766603</v>
          </cell>
        </row>
        <row r="693">
          <cell r="A693">
            <v>476610</v>
          </cell>
          <cell r="B693" t="str">
            <v>Water Charges</v>
          </cell>
          <cell r="C693">
            <v>91704</v>
          </cell>
        </row>
        <row r="694">
          <cell r="A694">
            <v>476690</v>
          </cell>
          <cell r="B694" t="str">
            <v>Filing Fee&amp;StampDuty</v>
          </cell>
          <cell r="C694">
            <v>272545</v>
          </cell>
        </row>
        <row r="695">
          <cell r="A695">
            <v>476700</v>
          </cell>
          <cell r="B695" t="str">
            <v>Statutory audit fees</v>
          </cell>
          <cell r="C695">
            <v>1118250</v>
          </cell>
        </row>
        <row r="696">
          <cell r="A696">
            <v>476710</v>
          </cell>
          <cell r="B696" t="str">
            <v>Statutory audit-Exp</v>
          </cell>
          <cell r="C696">
            <v>30623</v>
          </cell>
        </row>
        <row r="697">
          <cell r="A697">
            <v>476720</v>
          </cell>
          <cell r="B697" t="str">
            <v>Tax Audit fees</v>
          </cell>
          <cell r="C697">
            <v>42250</v>
          </cell>
        </row>
        <row r="698">
          <cell r="A698">
            <v>476740</v>
          </cell>
          <cell r="B698" t="str">
            <v>Audit Expenses - other fees</v>
          </cell>
          <cell r="C698">
            <v>-3400</v>
          </cell>
        </row>
        <row r="699">
          <cell r="A699">
            <v>476800</v>
          </cell>
          <cell r="B699" t="str">
            <v>Lab Testing material</v>
          </cell>
          <cell r="C699">
            <v>288033</v>
          </cell>
        </row>
        <row r="700">
          <cell r="A700">
            <v>476810</v>
          </cell>
          <cell r="B700" t="str">
            <v>Vendor Dev.CCl</v>
          </cell>
          <cell r="C700">
            <v>188805</v>
          </cell>
        </row>
        <row r="701">
          <cell r="A701">
            <v>477000</v>
          </cell>
          <cell r="B701" t="str">
            <v>Advertising Calendars</v>
          </cell>
          <cell r="C701">
            <v>157635</v>
          </cell>
        </row>
        <row r="702">
          <cell r="A702">
            <v>477001</v>
          </cell>
          <cell r="B702" t="str">
            <v>Adv.Exhibitions</v>
          </cell>
          <cell r="C702">
            <v>110357</v>
          </cell>
        </row>
        <row r="703">
          <cell r="A703">
            <v>477030</v>
          </cell>
          <cell r="B703" t="str">
            <v>Adv.news papers</v>
          </cell>
          <cell r="C703">
            <v>307924.55</v>
          </cell>
        </row>
        <row r="704">
          <cell r="A704">
            <v>477040</v>
          </cell>
          <cell r="B704" t="str">
            <v>printing shade cards</v>
          </cell>
          <cell r="C704">
            <v>69420</v>
          </cell>
        </row>
        <row r="705">
          <cell r="A705">
            <v>477050</v>
          </cell>
          <cell r="B705" t="str">
            <v>Printing -Product Literature.</v>
          </cell>
          <cell r="C705">
            <v>0</v>
          </cell>
        </row>
        <row r="706">
          <cell r="A706">
            <v>477060</v>
          </cell>
          <cell r="B706" t="str">
            <v>Corporate ser.CCL</v>
          </cell>
          <cell r="C706">
            <v>41400</v>
          </cell>
        </row>
        <row r="707">
          <cell r="A707">
            <v>477070</v>
          </cell>
          <cell r="B707" t="str">
            <v>Ent.exp.Customer</v>
          </cell>
          <cell r="C707">
            <v>111706.67</v>
          </cell>
        </row>
        <row r="708">
          <cell r="A708">
            <v>477080</v>
          </cell>
          <cell r="B708" t="str">
            <v>Ent.exp.stockist</v>
          </cell>
          <cell r="C708">
            <v>2922</v>
          </cell>
        </row>
        <row r="709">
          <cell r="A709">
            <v>477100</v>
          </cell>
          <cell r="B709" t="str">
            <v>information technology services</v>
          </cell>
          <cell r="C709">
            <v>123000</v>
          </cell>
        </row>
        <row r="710">
          <cell r="A710">
            <v>477200</v>
          </cell>
          <cell r="B710" t="str">
            <v>Advertising gifts</v>
          </cell>
          <cell r="C710">
            <v>11260</v>
          </cell>
        </row>
        <row r="711">
          <cell r="A711">
            <v>477400</v>
          </cell>
          <cell r="B711" t="str">
            <v>Cost of samples received</v>
          </cell>
          <cell r="C711">
            <v>765777.12</v>
          </cell>
        </row>
        <row r="712">
          <cell r="A712">
            <v>477410</v>
          </cell>
          <cell r="B712" t="str">
            <v>Cost of samples from Stock</v>
          </cell>
          <cell r="C712">
            <v>289402.31</v>
          </cell>
        </row>
        <row r="713">
          <cell r="A713">
            <v>477900</v>
          </cell>
          <cell r="B713" t="str">
            <v>Sales commission (brokerage)</v>
          </cell>
          <cell r="C713">
            <v>2896822.9</v>
          </cell>
        </row>
        <row r="714">
          <cell r="A714">
            <v>477910</v>
          </cell>
          <cell r="B714" t="str">
            <v>Comm.to sub-indent</v>
          </cell>
          <cell r="C714">
            <v>294222.51</v>
          </cell>
        </row>
        <row r="715">
          <cell r="A715">
            <v>800000</v>
          </cell>
          <cell r="B715" t="str">
            <v>Local Sales</v>
          </cell>
          <cell r="C715">
            <v>-636906883.39999998</v>
          </cell>
        </row>
        <row r="716">
          <cell r="A716">
            <v>800005</v>
          </cell>
          <cell r="B716" t="str">
            <v>Local Sales</v>
          </cell>
          <cell r="C716">
            <v>-33211.410000000003</v>
          </cell>
        </row>
        <row r="717">
          <cell r="A717">
            <v>800010</v>
          </cell>
          <cell r="B717" t="str">
            <v>Raw Mat. Local Sale</v>
          </cell>
          <cell r="C717">
            <v>-1484762.6</v>
          </cell>
        </row>
        <row r="718">
          <cell r="A718">
            <v>800100</v>
          </cell>
          <cell r="B718" t="str">
            <v>Handling charges</v>
          </cell>
          <cell r="C718">
            <v>-569591.38</v>
          </cell>
        </row>
        <row r="719">
          <cell r="A719">
            <v>800110</v>
          </cell>
          <cell r="B719" t="str">
            <v>Freight Recovered</v>
          </cell>
          <cell r="C719">
            <v>-72141.100000000006</v>
          </cell>
        </row>
        <row r="720">
          <cell r="A720">
            <v>800120</v>
          </cell>
          <cell r="B720" t="str">
            <v>Insurance Recovered</v>
          </cell>
          <cell r="C720">
            <v>-699171.23</v>
          </cell>
        </row>
        <row r="721">
          <cell r="A721">
            <v>800130</v>
          </cell>
          <cell r="B721" t="str">
            <v>Octroi Recovered-L</v>
          </cell>
          <cell r="C721">
            <v>-2151284.75</v>
          </cell>
        </row>
        <row r="722">
          <cell r="A722">
            <v>800150</v>
          </cell>
          <cell r="B722" t="str">
            <v>Excise Recovered on sales</v>
          </cell>
          <cell r="C722">
            <v>-92794475.75</v>
          </cell>
        </row>
        <row r="723">
          <cell r="A723">
            <v>801000</v>
          </cell>
          <cell r="B723" t="str">
            <v>Export Sales</v>
          </cell>
          <cell r="C723">
            <v>-100089981.04000001</v>
          </cell>
        </row>
        <row r="724">
          <cell r="A724">
            <v>802010</v>
          </cell>
          <cell r="B724" t="str">
            <v>Indent Comm.Foreign</v>
          </cell>
          <cell r="C724">
            <v>-7509837.3900000006</v>
          </cell>
        </row>
        <row r="725">
          <cell r="A725">
            <v>802020</v>
          </cell>
          <cell r="B725" t="str">
            <v>Reverse Indent Commission-Foreign</v>
          </cell>
          <cell r="C725">
            <v>-30546715.060000002</v>
          </cell>
        </row>
        <row r="726">
          <cell r="A726">
            <v>803000</v>
          </cell>
          <cell r="B726" t="str">
            <v>Service Charges</v>
          </cell>
          <cell r="C726">
            <v>-5633304.29</v>
          </cell>
        </row>
        <row r="727">
          <cell r="A727">
            <v>860010</v>
          </cell>
          <cell r="B727" t="str">
            <v>Duty drawback</v>
          </cell>
          <cell r="C727">
            <v>602991.15</v>
          </cell>
        </row>
        <row r="728">
          <cell r="A728">
            <v>860020</v>
          </cell>
          <cell r="B728" t="str">
            <v>Brand duty received</v>
          </cell>
          <cell r="C728">
            <v>497030.67</v>
          </cell>
        </row>
        <row r="729">
          <cell r="A729">
            <v>860030</v>
          </cell>
          <cell r="B729" t="str">
            <v>D.E.P.B. Income</v>
          </cell>
          <cell r="C729">
            <v>-3764545.15</v>
          </cell>
        </row>
        <row r="730">
          <cell r="A730">
            <v>860040</v>
          </cell>
          <cell r="B730" t="str">
            <v>Brand duty received on imports (1% S.V.B)</v>
          </cell>
          <cell r="C730">
            <v>-85492</v>
          </cell>
        </row>
        <row r="731">
          <cell r="A731">
            <v>880000</v>
          </cell>
          <cell r="B731" t="str">
            <v>Customer discounts(Cash Discount)</v>
          </cell>
          <cell r="C731">
            <v>8861119.0399999991</v>
          </cell>
        </row>
        <row r="732">
          <cell r="A732">
            <v>881000</v>
          </cell>
          <cell r="B732" t="str">
            <v>Payment Differences (Rounding Off Diffe</v>
          </cell>
          <cell r="C732">
            <v>446.16</v>
          </cell>
        </row>
        <row r="733">
          <cell r="A733">
            <v>883000</v>
          </cell>
          <cell r="B733" t="str">
            <v>Discount on Sales-Packing Material Disc</v>
          </cell>
          <cell r="C733">
            <v>12849.71</v>
          </cell>
        </row>
        <row r="734">
          <cell r="A734">
            <v>883010</v>
          </cell>
          <cell r="B734" t="str">
            <v>Shortage,Leakage W/o</v>
          </cell>
          <cell r="C734">
            <v>208942.43</v>
          </cell>
        </row>
        <row r="735">
          <cell r="A735">
            <v>883020</v>
          </cell>
          <cell r="B735" t="str">
            <v>Excise/octroi Written Off</v>
          </cell>
          <cell r="C735">
            <v>228921.83</v>
          </cell>
        </row>
        <row r="736">
          <cell r="A736">
            <v>884000</v>
          </cell>
          <cell r="B736" t="str">
            <v>Rebate on Sales-Trade Discount, Qty dis</v>
          </cell>
          <cell r="C736">
            <v>11520973.59</v>
          </cell>
        </row>
        <row r="737">
          <cell r="A737">
            <v>889000</v>
          </cell>
          <cell r="B737" t="str">
            <v>Other sales deductions</v>
          </cell>
          <cell r="C737">
            <v>315497.11</v>
          </cell>
        </row>
        <row r="738">
          <cell r="A738">
            <v>890000</v>
          </cell>
          <cell r="B738" t="str">
            <v>Inventory change-SFG Issue to Prod. Ord</v>
          </cell>
          <cell r="C738">
            <v>382080329.37</v>
          </cell>
        </row>
        <row r="739">
          <cell r="A739">
            <v>891000</v>
          </cell>
          <cell r="B739" t="str">
            <v>Inventory change-work in process</v>
          </cell>
          <cell r="C739">
            <v>-967548.68</v>
          </cell>
        </row>
        <row r="740">
          <cell r="A740">
            <v>892000</v>
          </cell>
          <cell r="B740" t="str">
            <v>Inventory change-F.G.-Reprocessing</v>
          </cell>
          <cell r="C740">
            <v>4210344.32</v>
          </cell>
        </row>
        <row r="741">
          <cell r="A741">
            <v>893100</v>
          </cell>
          <cell r="B741" t="str">
            <v>Inv.Chg.cost MFG/SF Sold</v>
          </cell>
          <cell r="C741">
            <v>626680.34</v>
          </cell>
        </row>
        <row r="742">
          <cell r="A742">
            <v>893150</v>
          </cell>
          <cell r="B742" t="str">
            <v>Inv.Chg.-Valuation for excis etc</v>
          </cell>
          <cell r="C742">
            <v>0</v>
          </cell>
        </row>
        <row r="743">
          <cell r="A743">
            <v>893200</v>
          </cell>
          <cell r="B743" t="str">
            <v>Inv.Chg.Cost MfG/FG Sold</v>
          </cell>
          <cell r="C743">
            <v>325102023.63999999</v>
          </cell>
        </row>
        <row r="744">
          <cell r="A744">
            <v>894005</v>
          </cell>
          <cell r="B744" t="str">
            <v>Cost of RM Sold</v>
          </cell>
          <cell r="C744">
            <v>1884410.17</v>
          </cell>
        </row>
        <row r="745">
          <cell r="A745">
            <v>894010</v>
          </cell>
          <cell r="B745" t="str">
            <v>Inventory change-cost of Trading Goods</v>
          </cell>
          <cell r="C745">
            <v>285429072.79000002</v>
          </cell>
        </row>
        <row r="746">
          <cell r="A746">
            <v>894020</v>
          </cell>
          <cell r="B746" t="str">
            <v>Inventory change-Trading Goods(High Sea</v>
          </cell>
          <cell r="C746">
            <v>3885217.67</v>
          </cell>
        </row>
        <row r="747">
          <cell r="A747">
            <v>895000</v>
          </cell>
          <cell r="B747" t="str">
            <v>Inventory change-SFG-Receipt from Prod.</v>
          </cell>
          <cell r="C747">
            <v>-384459592.77999997</v>
          </cell>
        </row>
        <row r="748">
          <cell r="A748">
            <v>895200</v>
          </cell>
          <cell r="B748" t="str">
            <v>Inventory change-FG-Receipt from Produc</v>
          </cell>
          <cell r="C748">
            <v>-309160446.94</v>
          </cell>
        </row>
        <row r="749">
          <cell r="A749" t="str">
            <v>Administration Cost</v>
          </cell>
        </row>
        <row r="750">
          <cell r="A750" t="str">
            <v>Administration Cost</v>
          </cell>
          <cell r="C750">
            <v>108955421.69</v>
          </cell>
        </row>
        <row r="751">
          <cell r="A751" t="str">
            <v>Audit Expenses</v>
          </cell>
        </row>
        <row r="752">
          <cell r="A752" t="str">
            <v>Audit Expenses</v>
          </cell>
          <cell r="C752">
            <v>1187723</v>
          </cell>
        </row>
        <row r="753">
          <cell r="A753" t="str">
            <v>Consumption Raw Materials</v>
          </cell>
        </row>
        <row r="754">
          <cell r="A754" t="str">
            <v>Consumption Raw Materials</v>
          </cell>
          <cell r="C754">
            <v>218553468.09000003</v>
          </cell>
        </row>
        <row r="755">
          <cell r="A755" t="str">
            <v>Consumption Trading Goods</v>
          </cell>
        </row>
        <row r="756">
          <cell r="A756" t="str">
            <v>Consumption Trading Goods</v>
          </cell>
          <cell r="C756">
            <v>289314290.46000004</v>
          </cell>
        </row>
        <row r="757">
          <cell r="A757" t="str">
            <v>Conversion Charges</v>
          </cell>
        </row>
        <row r="758">
          <cell r="A758" t="str">
            <v>Conversion Charges</v>
          </cell>
          <cell r="C758">
            <v>112652000</v>
          </cell>
        </row>
        <row r="759">
          <cell r="A759" t="str">
            <v>Depreciation</v>
          </cell>
        </row>
        <row r="760">
          <cell r="A760" t="str">
            <v>Depreciation</v>
          </cell>
          <cell r="C760">
            <v>70126291.939999998</v>
          </cell>
        </row>
        <row r="761">
          <cell r="A761" t="str">
            <v>Excise Duty paid</v>
          </cell>
        </row>
        <row r="762">
          <cell r="A762" t="str">
            <v>Excise Duty paid</v>
          </cell>
          <cell r="C762">
            <v>48131814.890000001</v>
          </cell>
        </row>
        <row r="763">
          <cell r="A763" t="str">
            <v>Expenditure</v>
          </cell>
        </row>
        <row r="764">
          <cell r="A764" t="str">
            <v>Expenditure</v>
          </cell>
          <cell r="C764">
            <v>1598078735.4299998</v>
          </cell>
        </row>
        <row r="765">
          <cell r="A765" t="str">
            <v>Income</v>
          </cell>
          <cell r="C765">
            <v>-1583390919.79</v>
          </cell>
        </row>
        <row r="766">
          <cell r="A766" t="str">
            <v>Income-tax paid</v>
          </cell>
        </row>
        <row r="767">
          <cell r="A767" t="str">
            <v>Income-tax paid</v>
          </cell>
          <cell r="C767">
            <v>27240000</v>
          </cell>
        </row>
        <row r="768">
          <cell r="A768" t="str">
            <v>Interest</v>
          </cell>
        </row>
        <row r="769">
          <cell r="A769" t="str">
            <v>Interest</v>
          </cell>
          <cell r="C769">
            <v>23360101.750000004</v>
          </cell>
        </row>
        <row r="770">
          <cell r="A770" t="str">
            <v>Inventory Changes</v>
          </cell>
        </row>
        <row r="771">
          <cell r="A771" t="str">
            <v>Inventory Changes</v>
          </cell>
          <cell r="C771">
            <v>-694587588.39999998</v>
          </cell>
        </row>
        <row r="772">
          <cell r="A772" t="str">
            <v>Inventory Changes</v>
          </cell>
        </row>
        <row r="773">
          <cell r="A773" t="str">
            <v>Inventory Changes</v>
          </cell>
          <cell r="C773">
            <v>713903787.83999991</v>
          </cell>
        </row>
        <row r="774">
          <cell r="A774" t="str">
            <v>Micellaneous expenses</v>
          </cell>
        </row>
        <row r="775">
          <cell r="A775" t="str">
            <v>Micellaneous expenses</v>
          </cell>
          <cell r="C775">
            <v>38283896.520000003</v>
          </cell>
        </row>
        <row r="776">
          <cell r="A776" t="str">
            <v>Other Income</v>
          </cell>
        </row>
        <row r="777">
          <cell r="A777" t="str">
            <v>Other Income</v>
          </cell>
          <cell r="C777">
            <v>-57494017.189999998</v>
          </cell>
        </row>
        <row r="778">
          <cell r="A778" t="str">
            <v>Others Expenditure</v>
          </cell>
        </row>
        <row r="779">
          <cell r="A779" t="str">
            <v>Others Expenditure</v>
          </cell>
          <cell r="C779">
            <v>21148749.869999997</v>
          </cell>
        </row>
        <row r="780">
          <cell r="A780" t="str">
            <v>Personnel cost</v>
          </cell>
        </row>
        <row r="781">
          <cell r="A781" t="str">
            <v>Personnel cost</v>
          </cell>
          <cell r="C781">
            <v>17439453.829999998</v>
          </cell>
        </row>
        <row r="782">
          <cell r="A782" t="str">
            <v>Postage and communication cost</v>
          </cell>
        </row>
        <row r="783">
          <cell r="A783" t="str">
            <v>Postage and communication cost</v>
          </cell>
          <cell r="C783">
            <v>2858223.63</v>
          </cell>
        </row>
        <row r="784">
          <cell r="A784" t="str">
            <v>Printing &amp; Stationery</v>
          </cell>
        </row>
        <row r="785">
          <cell r="A785" t="str">
            <v>Printing &amp; Stationery</v>
          </cell>
          <cell r="C785">
            <v>1471798.43</v>
          </cell>
        </row>
        <row r="786">
          <cell r="A786" t="str">
            <v>Professional Charges</v>
          </cell>
        </row>
        <row r="787">
          <cell r="A787" t="str">
            <v>Professional Charges</v>
          </cell>
          <cell r="C787">
            <v>2280130.83</v>
          </cell>
        </row>
        <row r="788">
          <cell r="A788" t="str">
            <v>Profit &amp; Loss Account</v>
          </cell>
          <cell r="C788">
            <v>14687815.639999866</v>
          </cell>
        </row>
        <row r="789">
          <cell r="A789" t="str">
            <v>Rent Rates and Taxes</v>
          </cell>
        </row>
        <row r="790">
          <cell r="A790" t="str">
            <v>Rent Rates and Taxes</v>
          </cell>
          <cell r="C790">
            <v>6536955</v>
          </cell>
        </row>
        <row r="791">
          <cell r="A791" t="str">
            <v>Repairs &amp; Maintainence</v>
          </cell>
        </row>
        <row r="792">
          <cell r="A792" t="str">
            <v>Repairs &amp; Maintainence</v>
          </cell>
          <cell r="C792">
            <v>1873242.8</v>
          </cell>
        </row>
        <row r="793">
          <cell r="A793" t="str">
            <v>Sales</v>
          </cell>
        </row>
        <row r="794">
          <cell r="A794" t="str">
            <v>Sales</v>
          </cell>
          <cell r="C794">
            <v>-831309314.19999993</v>
          </cell>
        </row>
        <row r="795">
          <cell r="A795" t="str">
            <v>Stock Adjustments</v>
          </cell>
        </row>
        <row r="796">
          <cell r="A796" t="str">
            <v>Stock Adjustments</v>
          </cell>
          <cell r="C796">
            <v>-4614830.04</v>
          </cell>
        </row>
        <row r="797">
          <cell r="A797" t="str">
            <v>Travelling</v>
          </cell>
        </row>
        <row r="798">
          <cell r="A798" t="str">
            <v>Travelling</v>
          </cell>
          <cell r="C798">
            <v>6331636.5899999989</v>
          </cell>
        </row>
        <row r="799">
          <cell r="C799">
            <v>-638424857.40999997</v>
          </cell>
        </row>
        <row r="800">
          <cell r="C800">
            <v>-92794475.75</v>
          </cell>
        </row>
        <row r="801">
          <cell r="C801">
            <v>-731219333.15999997</v>
          </cell>
        </row>
        <row r="802">
          <cell r="C802">
            <v>-100089981.04000001</v>
          </cell>
        </row>
        <row r="804">
          <cell r="C804">
            <v>-38056552.450000003</v>
          </cell>
        </row>
        <row r="805">
          <cell r="C805">
            <v>-3492188.46</v>
          </cell>
        </row>
        <row r="806">
          <cell r="C806">
            <v>-2664523.33</v>
          </cell>
        </row>
        <row r="807">
          <cell r="C807">
            <v>-3614661.21</v>
          </cell>
        </row>
        <row r="808">
          <cell r="C808">
            <v>-63443.08</v>
          </cell>
        </row>
        <row r="809">
          <cell r="C809">
            <v>-9602648.6600000001</v>
          </cell>
        </row>
        <row r="811">
          <cell r="C811">
            <v>-384459592.77999997</v>
          </cell>
        </row>
        <row r="812">
          <cell r="C812">
            <v>-309160446.94</v>
          </cell>
        </row>
        <row r="813">
          <cell r="C813">
            <v>-967548.68</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OW"/>
      <sheetName val="OPS_asia"/>
      <sheetName val="Production"/>
      <sheetName val="PRICE"/>
      <sheetName val="Data"/>
      <sheetName val="OPS_SIMPLIFIE"/>
      <sheetName val="CESSION"/>
      <sheetName val="ORDER"/>
      <sheetName val="income"/>
      <sheetName val="AP RA99-06"/>
      <sheetName val="HV RA99-06"/>
      <sheetName val="IN RA99-06"/>
      <sheetName val="CH RA99-06"/>
      <sheetName val="TH RA99-06"/>
      <sheetName val="HZ RA99-06"/>
      <sheetName val="Total MG "/>
    </sheetNames>
    <sheetDataSet>
      <sheetData sheetId="0" refreshError="1"/>
      <sheetData sheetId="1" refreshError="1"/>
      <sheetData sheetId="2" refreshError="1"/>
      <sheetData sheetId="3" refreshError="1"/>
      <sheetData sheetId="4" refreshError="1">
        <row r="10">
          <cell r="D10">
            <v>8.3000000000000007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Bs"/>
      <sheetName val="p&amp;l"/>
      <sheetName val="SCH-BS"/>
      <sheetName val="SCH-PL"/>
      <sheetName val="sch2"/>
      <sheetName val="sch5"/>
      <sheetName val="sch6"/>
      <sheetName val="Grp-BS"/>
      <sheetName val="Grp-PL"/>
      <sheetName val="Trial"/>
      <sheetName val="Cash Flow"/>
      <sheetName val="Working FY 05"/>
      <sheetName val="sch19"/>
      <sheetName val="segmental"/>
      <sheetName val="Cashflow (2)"/>
      <sheetName val="Cash-WKI"/>
    </sheetNames>
    <sheetDataSet>
      <sheetData sheetId="0" refreshError="1">
        <row r="2">
          <cell r="N2">
            <v>2</v>
          </cell>
        </row>
        <row r="6">
          <cell r="M6">
            <v>1</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ept."/>
      <sheetName val="TB"/>
      <sheetName val="BS 2004"/>
      <sheetName val="CLOSING ENTRIES"/>
      <sheetName val="AGEING"/>
      <sheetName val="RATIOS"/>
      <sheetName val="Ratio Analysis"/>
      <sheetName val="COMP."/>
      <sheetName val="Co DEP"/>
      <sheetName val="I.T. DEPN"/>
      <sheetName val="Stock-august"/>
      <sheetName val="Stock"/>
      <sheetName val="CLOSING ENTRIES (2)"/>
      <sheetName val="Def. tax "/>
      <sheetName val="Deferred Tax 1.4.2002"/>
      <sheetName val="Sheet1"/>
      <sheetName val="Stock Records"/>
      <sheetName val="EEFc-new"/>
      <sheetName val="3CD"/>
      <sheetName val="Sheet2"/>
      <sheetName val="TP New"/>
      <sheetName val="TP Old"/>
      <sheetName val="80IB New"/>
      <sheetName val="EEFc-Pharma"/>
      <sheetName val="BS - 31.03.06"/>
      <sheetName val="L&amp;A"/>
      <sheetName val="Creditors"/>
      <sheetName val="nutra- TB"/>
      <sheetName val="pharma - TB"/>
      <sheetName val="80IB"/>
      <sheetName val="Def. Tax"/>
      <sheetName val="Pending "/>
      <sheetName val="stk sum"/>
      <sheetName val="stock stat Reco"/>
      <sheetName val="valuation  of cl.stk"/>
      <sheetName val="Ratios - tax"/>
      <sheetName val="other asset"/>
      <sheetName val="building"/>
      <sheetName val="amol pharm dep "/>
      <sheetName val="amol nut dep"/>
      <sheetName val="dep-ssi"/>
      <sheetName val="Dep Tax"/>
      <sheetName val="ANNEX I"/>
      <sheetName val="ANEX-II"/>
      <sheetName val="Int"/>
      <sheetName val="ANN-A"/>
      <sheetName val="ANN-B"/>
      <sheetName val="ANN-C"/>
      <sheetName val="ANN-D"/>
      <sheetName val="ANN-E"/>
      <sheetName val=" ANN-G"/>
      <sheetName val="3CEB"/>
      <sheetName val="annexure for  3CEB"/>
      <sheetName val="Export MT"/>
      <sheetName val="ABL IMPORT EXPORT"/>
      <sheetName val="NUTRA TO US "/>
      <sheetName val="PHARMA TO US"/>
      <sheetName val="ratio"/>
      <sheetName val="CAR LOAN"/>
      <sheetName val="TDS"/>
      <sheetName val="FBT"/>
      <sheetName val="Annexure II (FBT)"/>
      <sheetName val="COI"/>
      <sheetName val="BS "/>
      <sheetName val="29B"/>
      <sheetName val="SUM"/>
      <sheetName val="TB RR"/>
      <sheetName val="TB HR"/>
      <sheetName val="DEP.CO."/>
      <sheetName val="Dep"/>
      <sheetName val="IT DEP"/>
      <sheetName val="DR"/>
      <sheetName val="DT04"/>
      <sheetName val="DT06"/>
      <sheetName val="ANNEX"/>
      <sheetName val="SALES TAX(VAT)"/>
      <sheetName val="Interest"/>
      <sheetName val="Annex -F"/>
      <sheetName val="Annex -G"/>
      <sheetName val="ANN -H"/>
      <sheetName val="ANN-J"/>
      <sheetName val="Directors"/>
      <sheetName val="Shares"/>
      <sheetName val="ANN-F"/>
      <sheetName val="ANN-I"/>
      <sheetName val="WORKING OF TDS"/>
      <sheetName val="AS 31.3.2003"/>
      <sheetName val="FGR"/>
      <sheetName val="RMR"/>
      <sheetName val="WIP R"/>
      <sheetName val="FG"/>
      <sheetName val="Summary"/>
      <sheetName val="RMV"/>
      <sheetName val="WIPV"/>
      <sheetName val="D"/>
      <sheetName val="JWV"/>
      <sheetName val="JWR"/>
      <sheetName val="S-k"/>
      <sheetName val="bal sheet "/>
      <sheetName val="Prefernece Redm"/>
      <sheetName val="Chanplast"/>
      <sheetName val="Excise"/>
      <sheetName val="CO-DEP"/>
      <sheetName val="pref"/>
      <sheetName val="Corrections"/>
      <sheetName val="Pending"/>
      <sheetName val="analysis "/>
      <sheetName val="TDS Working"/>
      <sheetName val="Excise last year"/>
      <sheetName val="walter and chanvim"/>
      <sheetName val="workin"/>
      <sheetName val="rough"/>
      <sheetName val="(EVL) compens."/>
      <sheetName val="work"/>
      <sheetName val="sch E ( a)"/>
      <sheetName val="working"/>
      <sheetName val="Sheet5"/>
      <sheetName val="TB final (4)"/>
      <sheetName val="COVER PAGE"/>
      <sheetName val="REQ"/>
      <sheetName val="COMPUT"/>
      <sheetName val="B S"/>
      <sheetName val="FIX.ASS"/>
      <sheetName val="QTY "/>
      <sheetName val="AHO DRS"/>
      <sheetName val="3 CA ANNEX."/>
      <sheetName val="3CD ANNEX"/>
      <sheetName val="GROUP"/>
      <sheetName val="page 1 to 5 &amp; 7"/>
      <sheetName val="I.T DEP"/>
      <sheetName val="AS-22"/>
      <sheetName val="Master"/>
      <sheetName val="page 6"/>
      <sheetName val="DRS-180 DAY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 22 1.4.2002"/>
      <sheetName val="AS 31.3.2003"/>
      <sheetName val="Accounts"/>
      <sheetName val="Suppliers"/>
      <sheetName val="COMP."/>
      <sheetName val="ANNEX H"/>
      <sheetName val="BS&amp;PLA"/>
      <sheetName val="145 A"/>
      <sheetName val="Co - Dep"/>
      <sheetName val="Debit  note"/>
      <sheetName val="Modvat"/>
      <sheetName val="DEP IT"/>
      <sheetName val="costsheet"/>
      <sheetName val="POY Wastage Oil"/>
      <sheetName val="Stock Detail"/>
      <sheetName val="Trading"/>
      <sheetName val="Stock Details"/>
      <sheetName val="Sheet1"/>
      <sheetName val="ELECTRICITY"/>
      <sheetName val="Excise duty"/>
      <sheetName val="ANNEX C"/>
      <sheetName val="General exp."/>
      <sheetName val="fixed assets(0ld)"/>
      <sheetName val="RELIANCE "/>
      <sheetName val="ANNEX I"/>
      <sheetName val="pharma - TB"/>
      <sheetName val="rough"/>
    </sheetNames>
    <sheetDataSet>
      <sheetData sheetId="0"/>
      <sheetData sheetId="1"/>
      <sheetData sheetId="2"/>
      <sheetData sheetId="3"/>
      <sheetData sheetId="4"/>
      <sheetData sheetId="5"/>
      <sheetData sheetId="6" refreshError="1">
        <row r="578">
          <cell r="B578" t="str">
            <v>RAMANUJ SYNTHETICS PVT. LTD.</v>
          </cell>
        </row>
        <row r="580">
          <cell r="B580" t="str">
            <v xml:space="preserve">GROUPING OF BALANCE SHEET &amp; PROFIT &amp; LOSS ACCOUNT FOR THE  </v>
          </cell>
        </row>
        <row r="581">
          <cell r="B581" t="str">
            <v>YEAR ENDED 31ST MARCH, 2003</v>
          </cell>
        </row>
        <row r="583">
          <cell r="B583" t="str">
            <v>PARTICULARS</v>
          </cell>
          <cell r="D583" t="str">
            <v>31st March, 2003</v>
          </cell>
          <cell r="E583" t="str">
            <v>31st March, 2002</v>
          </cell>
          <cell r="F583" t="str">
            <v>31st March, 2001</v>
          </cell>
        </row>
        <row r="584">
          <cell r="D584" t="str">
            <v>(Rupees)</v>
          </cell>
          <cell r="E584" t="str">
            <v>(Rupees)</v>
          </cell>
          <cell r="F584" t="str">
            <v>(Rupees)</v>
          </cell>
        </row>
        <row r="586">
          <cell r="B586" t="str">
            <v>CREDITORS FOR EXPENSES</v>
          </cell>
        </row>
        <row r="587">
          <cell r="B587" t="str">
            <v>S.V.Enterprises</v>
          </cell>
          <cell r="D587">
            <v>1789</v>
          </cell>
        </row>
        <row r="588">
          <cell r="B588" t="str">
            <v>Vishwakarma  Electricals</v>
          </cell>
          <cell r="D588">
            <v>1000</v>
          </cell>
          <cell r="E588">
            <v>1050</v>
          </cell>
        </row>
        <row r="589">
          <cell r="B589" t="str">
            <v>Mahesh  Engineering   Works</v>
          </cell>
          <cell r="D589">
            <v>571</v>
          </cell>
          <cell r="E589">
            <v>3083</v>
          </cell>
        </row>
        <row r="590">
          <cell r="B590" t="str">
            <v>Daga Press</v>
          </cell>
          <cell r="D590">
            <v>4416</v>
          </cell>
          <cell r="E590">
            <v>10994</v>
          </cell>
          <cell r="H590" t="str">
            <v>new</v>
          </cell>
        </row>
        <row r="591">
          <cell r="B591" t="str">
            <v>CRP  Control Panel Pvt Ltd</v>
          </cell>
          <cell r="D591">
            <v>80473</v>
          </cell>
        </row>
        <row r="592">
          <cell r="B592" t="str">
            <v>Siemens Ltd</v>
          </cell>
          <cell r="D592">
            <v>42325</v>
          </cell>
          <cell r="E592">
            <v>15715</v>
          </cell>
        </row>
        <row r="593">
          <cell r="B593" t="str">
            <v>Shiv  Transport  Services</v>
          </cell>
          <cell r="E593">
            <v>160800</v>
          </cell>
        </row>
        <row r="594">
          <cell r="B594" t="str">
            <v>Sai Electric Service</v>
          </cell>
          <cell r="E594">
            <v>12200</v>
          </cell>
        </row>
        <row r="595">
          <cell r="B595" t="str">
            <v>Star  Electic  Works</v>
          </cell>
          <cell r="D595">
            <v>3250</v>
          </cell>
        </row>
        <row r="596">
          <cell r="B596" t="str">
            <v>Industrial Spares Co.</v>
          </cell>
          <cell r="D596">
            <v>7140</v>
          </cell>
          <cell r="E596">
            <v>15699</v>
          </cell>
          <cell r="H596" t="str">
            <v>new</v>
          </cell>
        </row>
        <row r="597">
          <cell r="B597" t="str">
            <v>Satya-Shiv Tex-Mech Pvt Ltd</v>
          </cell>
          <cell r="D597">
            <v>3385</v>
          </cell>
        </row>
        <row r="598">
          <cell r="B598" t="str">
            <v>R .K. Corporation</v>
          </cell>
          <cell r="D598">
            <v>32189</v>
          </cell>
          <cell r="E598">
            <v>7729.8</v>
          </cell>
        </row>
        <row r="599">
          <cell r="B599" t="str">
            <v>Rachna Corporation</v>
          </cell>
          <cell r="E599">
            <v>10000</v>
          </cell>
        </row>
        <row r="600">
          <cell r="B600" t="str">
            <v>Panchal Brothers Engg.Works</v>
          </cell>
          <cell r="D600">
            <v>4300</v>
          </cell>
          <cell r="E600">
            <v>8299.84</v>
          </cell>
        </row>
        <row r="601">
          <cell r="B601" t="str">
            <v>Shree  Siddivinayak  Engg</v>
          </cell>
          <cell r="D601">
            <v>6650</v>
          </cell>
          <cell r="E601">
            <v>0</v>
          </cell>
        </row>
        <row r="602">
          <cell r="B602" t="str">
            <v>Shri Jalaram Electronics</v>
          </cell>
          <cell r="D602">
            <v>0</v>
          </cell>
          <cell r="E602">
            <v>4724.8</v>
          </cell>
        </row>
        <row r="603">
          <cell r="B603" t="str">
            <v>Maharashtra Transport Corporation</v>
          </cell>
          <cell r="D603">
            <v>5309</v>
          </cell>
          <cell r="E603">
            <v>5309</v>
          </cell>
        </row>
        <row r="604">
          <cell r="B604" t="str">
            <v>Century  Enterprises</v>
          </cell>
          <cell r="D604">
            <v>1985</v>
          </cell>
          <cell r="E604">
            <v>0</v>
          </cell>
        </row>
        <row r="605">
          <cell r="B605" t="str">
            <v>Dhru  Cars Pvt Ltd</v>
          </cell>
          <cell r="E605">
            <v>0</v>
          </cell>
        </row>
        <row r="606">
          <cell r="B606" t="str">
            <v>R.R.Trade  Link</v>
          </cell>
          <cell r="D606">
            <v>5962</v>
          </cell>
          <cell r="E606">
            <v>0</v>
          </cell>
        </row>
        <row r="607">
          <cell r="B607" t="str">
            <v>Raksha  Enterprise</v>
          </cell>
          <cell r="D607">
            <v>3550</v>
          </cell>
          <cell r="E607">
            <v>0</v>
          </cell>
        </row>
        <row r="608">
          <cell r="B608" t="str">
            <v>Nandlal  Vishwakarma</v>
          </cell>
          <cell r="D608">
            <v>3150</v>
          </cell>
          <cell r="E608">
            <v>0</v>
          </cell>
        </row>
        <row r="609">
          <cell r="B609" t="str">
            <v>Sunera  Industies</v>
          </cell>
          <cell r="D609">
            <v>1025</v>
          </cell>
          <cell r="E609">
            <v>0</v>
          </cell>
        </row>
        <row r="610">
          <cell r="B610" t="str">
            <v>Ashok Electric  Works</v>
          </cell>
          <cell r="D610">
            <v>3015</v>
          </cell>
          <cell r="E610">
            <v>0</v>
          </cell>
        </row>
        <row r="611">
          <cell r="B611" t="str">
            <v>Shrinath  Suppliers</v>
          </cell>
          <cell r="D611">
            <v>1800</v>
          </cell>
          <cell r="E611">
            <v>0</v>
          </cell>
        </row>
        <row r="612">
          <cell r="B612" t="str">
            <v>The  Pnuematic  Spares</v>
          </cell>
          <cell r="D612">
            <v>1040</v>
          </cell>
          <cell r="E612">
            <v>0</v>
          </cell>
        </row>
        <row r="613">
          <cell r="B613" t="str">
            <v>Dol  Electric  Company  Pvt  Ltd</v>
          </cell>
          <cell r="D613">
            <v>34895</v>
          </cell>
          <cell r="E613">
            <v>0</v>
          </cell>
        </row>
        <row r="614">
          <cell r="B614" t="str">
            <v>Shri  Chamunda  Engg  Works</v>
          </cell>
          <cell r="D614">
            <v>800</v>
          </cell>
          <cell r="E614">
            <v>0</v>
          </cell>
        </row>
        <row r="615">
          <cell r="B615" t="str">
            <v>Jyoti  Traders</v>
          </cell>
          <cell r="D615">
            <v>1500</v>
          </cell>
          <cell r="E615">
            <v>0</v>
          </cell>
        </row>
        <row r="616">
          <cell r="B616" t="str">
            <v>Gujrat Industrial Products</v>
          </cell>
          <cell r="D616">
            <v>0</v>
          </cell>
          <cell r="E616">
            <v>5447</v>
          </cell>
        </row>
        <row r="617">
          <cell r="B617" t="str">
            <v>Babu   George</v>
          </cell>
          <cell r="D617">
            <v>41000</v>
          </cell>
          <cell r="E617">
            <v>98782</v>
          </cell>
        </row>
        <row r="622">
          <cell r="B622" t="str">
            <v>Ajmera &amp; Associates</v>
          </cell>
          <cell r="E622">
            <v>0</v>
          </cell>
          <cell r="F622">
            <v>2829</v>
          </cell>
        </row>
        <row r="623">
          <cell r="B623" t="str">
            <v>Texmach Marketing</v>
          </cell>
          <cell r="E623">
            <v>0</v>
          </cell>
          <cell r="F623">
            <v>2368</v>
          </cell>
        </row>
        <row r="624">
          <cell r="B624" t="str">
            <v>CRP Control Panels Pvt. Ltd.</v>
          </cell>
          <cell r="D624">
            <v>0</v>
          </cell>
        </row>
        <row r="625">
          <cell r="B625" t="str">
            <v>Panchal Brothers Engineering</v>
          </cell>
          <cell r="D625">
            <v>0</v>
          </cell>
        </row>
        <row r="626">
          <cell r="B626" t="str">
            <v>Ashok Electric works</v>
          </cell>
          <cell r="D626">
            <v>0</v>
          </cell>
        </row>
        <row r="627">
          <cell r="B627" t="str">
            <v>Om Clearing Agency</v>
          </cell>
          <cell r="D627">
            <v>0</v>
          </cell>
        </row>
        <row r="628">
          <cell r="B628" t="str">
            <v>Om Elecfronics</v>
          </cell>
          <cell r="D628">
            <v>0</v>
          </cell>
        </row>
        <row r="629">
          <cell r="B629" t="str">
            <v>Omkar Engineers</v>
          </cell>
          <cell r="D629">
            <v>0</v>
          </cell>
        </row>
        <row r="630">
          <cell r="B630" t="str">
            <v>Century Enterprises</v>
          </cell>
          <cell r="D630">
            <v>0</v>
          </cell>
        </row>
        <row r="631">
          <cell r="B631" t="str">
            <v>Cool Line</v>
          </cell>
          <cell r="D631">
            <v>0</v>
          </cell>
          <cell r="E631">
            <v>0</v>
          </cell>
          <cell r="F631">
            <v>9000</v>
          </cell>
        </row>
        <row r="632">
          <cell r="B632" t="str">
            <v>Omkar Industries</v>
          </cell>
          <cell r="D632">
            <v>0</v>
          </cell>
        </row>
        <row r="633">
          <cell r="B633" t="str">
            <v>Satya Shiv Tex Mach  Pvt ltd</v>
          </cell>
          <cell r="D633">
            <v>0</v>
          </cell>
          <cell r="E633">
            <v>0</v>
          </cell>
          <cell r="F633">
            <v>2130</v>
          </cell>
        </row>
        <row r="634">
          <cell r="B634" t="str">
            <v>Dhru Car Pvt. Ltd,</v>
          </cell>
          <cell r="D634">
            <v>0</v>
          </cell>
        </row>
        <row r="635">
          <cell r="B635" t="str">
            <v>R.R. Trade Link</v>
          </cell>
          <cell r="D635">
            <v>0</v>
          </cell>
        </row>
        <row r="636">
          <cell r="B636" t="str">
            <v>Jayantilal Bhaganji Khaliya</v>
          </cell>
          <cell r="D636">
            <v>0</v>
          </cell>
        </row>
        <row r="637">
          <cell r="B637" t="str">
            <v>Rasksha Enterprises</v>
          </cell>
          <cell r="D637">
            <v>0</v>
          </cell>
        </row>
        <row r="638">
          <cell r="B638" t="str">
            <v>Nandlal Vishwakarma</v>
          </cell>
          <cell r="D638">
            <v>0</v>
          </cell>
        </row>
        <row r="639">
          <cell r="B639" t="str">
            <v>Utility Services</v>
          </cell>
          <cell r="D639">
            <v>0</v>
          </cell>
        </row>
        <row r="640">
          <cell r="B640" t="str">
            <v>Siddhi Engineers</v>
          </cell>
          <cell r="D640">
            <v>0</v>
          </cell>
        </row>
        <row r="641">
          <cell r="B641" t="str">
            <v>Sunera  Industries</v>
          </cell>
          <cell r="D641">
            <v>0</v>
          </cell>
        </row>
        <row r="642">
          <cell r="B642" t="str">
            <v>Shree Suppliers</v>
          </cell>
          <cell r="D642">
            <v>0</v>
          </cell>
        </row>
        <row r="643">
          <cell r="B643" t="str">
            <v>Aafloat Textiles (India) Pvt. Ltd.</v>
          </cell>
          <cell r="D643">
            <v>0</v>
          </cell>
        </row>
        <row r="644">
          <cell r="B644" t="str">
            <v>Ahmed Raza Traders</v>
          </cell>
          <cell r="D644">
            <v>0</v>
          </cell>
        </row>
        <row r="645">
          <cell r="B645" t="str">
            <v>Kinal Tex</v>
          </cell>
          <cell r="D645">
            <v>0</v>
          </cell>
        </row>
        <row r="646">
          <cell r="B646" t="str">
            <v>Modern Petrofiles</v>
          </cell>
          <cell r="D646">
            <v>0</v>
          </cell>
        </row>
        <row r="647">
          <cell r="B647" t="str">
            <v>Shree Shyam Impex</v>
          </cell>
          <cell r="D647">
            <v>0</v>
          </cell>
        </row>
        <row r="648">
          <cell r="B648" t="str">
            <v>Babbu Packageing Enterprises</v>
          </cell>
          <cell r="D648">
            <v>0</v>
          </cell>
        </row>
        <row r="649">
          <cell r="B649" t="str">
            <v>The Pnuematic Spares</v>
          </cell>
          <cell r="D649">
            <v>0</v>
          </cell>
        </row>
        <row r="650">
          <cell r="B650" t="str">
            <v>Without Name</v>
          </cell>
          <cell r="D650">
            <v>0</v>
          </cell>
        </row>
        <row r="651">
          <cell r="B651" t="str">
            <v>Dol Electronic CO.</v>
          </cell>
          <cell r="D651">
            <v>0</v>
          </cell>
        </row>
        <row r="652">
          <cell r="B652" t="str">
            <v>Walter &amp; Associates</v>
          </cell>
        </row>
        <row r="653">
          <cell r="B653" t="str">
            <v>S.V. Enterprises</v>
          </cell>
          <cell r="D653">
            <v>0</v>
          </cell>
        </row>
        <row r="654">
          <cell r="B654" t="str">
            <v>HM Infotech Pvt Ltd</v>
          </cell>
          <cell r="E654">
            <v>0</v>
          </cell>
          <cell r="F654">
            <v>35000</v>
          </cell>
        </row>
        <row r="655">
          <cell r="B655" t="str">
            <v>J. D. Lubricants Pvt Ltd.</v>
          </cell>
          <cell r="E655">
            <v>0</v>
          </cell>
          <cell r="F655">
            <v>24975</v>
          </cell>
        </row>
        <row r="656">
          <cell r="B656" t="str">
            <v>Polycell Corporation</v>
          </cell>
          <cell r="E656">
            <v>0</v>
          </cell>
          <cell r="F656">
            <v>3148</v>
          </cell>
        </row>
        <row r="657">
          <cell r="B657" t="str">
            <v>Star Electric Works</v>
          </cell>
          <cell r="D657">
            <v>0</v>
          </cell>
          <cell r="E657">
            <v>0</v>
          </cell>
          <cell r="F657">
            <v>3070</v>
          </cell>
        </row>
        <row r="658">
          <cell r="B658" t="str">
            <v xml:space="preserve">Shree Sidhvinayak </v>
          </cell>
          <cell r="D658">
            <v>0</v>
          </cell>
        </row>
        <row r="659">
          <cell r="B659" t="str">
            <v>Walter &amp; Associates</v>
          </cell>
          <cell r="D659">
            <v>0</v>
          </cell>
        </row>
        <row r="660">
          <cell r="B660" t="str">
            <v>S.S Electricals</v>
          </cell>
          <cell r="E660">
            <v>0</v>
          </cell>
          <cell r="F660">
            <v>1100</v>
          </cell>
        </row>
        <row r="661">
          <cell r="B661" t="str">
            <v>Walter &amp; Associates</v>
          </cell>
          <cell r="D661">
            <v>3742</v>
          </cell>
          <cell r="E661">
            <v>2847</v>
          </cell>
        </row>
        <row r="662">
          <cell r="B662" t="str">
            <v>Outstanding Expenses</v>
          </cell>
          <cell r="D662">
            <v>246007</v>
          </cell>
          <cell r="E662">
            <v>1619707</v>
          </cell>
        </row>
        <row r="664">
          <cell r="B664" t="str">
            <v>TOTAL</v>
          </cell>
          <cell r="D664">
            <v>542268</v>
          </cell>
          <cell r="E664">
            <v>1982387.44</v>
          </cell>
          <cell r="F664">
            <v>83620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bs"/>
      <sheetName val="sch 5"/>
      <sheetName val=" BS-sch 1-4"/>
      <sheetName val="BS-sch 6 &amp; 7"/>
      <sheetName val="BS-sch 8 &amp; 9"/>
      <sheetName val="PL-sch 10, 11 &amp; 12"/>
      <sheetName val="PL-sch 13, 14 &amp; 15"/>
      <sheetName val="GP Margin"/>
      <sheetName val="TRIAL BALANCE"/>
      <sheetName val="Clause 12 (b)"/>
      <sheetName val="pl-excl"/>
      <sheetName val="pl-incl"/>
      <sheetName val="downlo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ding"/>
      <sheetName val="Directors Remuneration"/>
      <sheetName val="DT"/>
      <sheetName val="Final TB"/>
      <sheetName val="Br TB (2)"/>
      <sheetName val="COI"/>
      <sheetName val="Projected TB"/>
      <sheetName val="Branch TB"/>
      <sheetName val="Branch"/>
      <sheetName val="DR"/>
      <sheetName val="Ann A"/>
      <sheetName val="Ann.-B&amp;E"/>
      <sheetName val="Ann.-C"/>
      <sheetName val="Ann.-D"/>
      <sheetName val="Ann-F"/>
      <sheetName val="Ann.-G"/>
      <sheetName val="Ann.-H"/>
      <sheetName val="Ann.-I"/>
      <sheetName val="Statement"/>
      <sheetName val="Interest Accrued"/>
      <sheetName val="Sheet1"/>
      <sheetName val="Unsecured Loan"/>
      <sheetName val="TDS"/>
      <sheetName val="Dr Age"/>
      <sheetName val="Ann.-J"/>
      <sheetName val="Value"/>
      <sheetName val="Analysis"/>
      <sheetName val="3CD "/>
      <sheetName val="Pending m12"/>
      <sheetName val="Deposit &amp; exp electricity"/>
      <sheetName val="BS"/>
      <sheetName val="BS REV SHD"/>
      <sheetName val="Sheet2"/>
      <sheetName val="Dep"/>
    </sheetNames>
    <sheetDataSet>
      <sheetData sheetId="0"/>
      <sheetData sheetId="1"/>
      <sheetData sheetId="2"/>
      <sheetData sheetId="3"/>
      <sheetData sheetId="4"/>
      <sheetData sheetId="5">
        <row r="76">
          <cell r="C76" t="str">
            <v>Interest  u/s 234A, 234B  &amp;  234C</v>
          </cell>
        </row>
        <row r="77">
          <cell r="C77" t="str">
            <v>u/s  234 B</v>
          </cell>
          <cell r="J77">
            <v>41406.734427162191</v>
          </cell>
        </row>
        <row r="78">
          <cell r="C78" t="str">
            <v>April to Sept.</v>
          </cell>
          <cell r="F78" t="str">
            <v>months</v>
          </cell>
          <cell r="H78">
            <v>0</v>
          </cell>
        </row>
        <row r="80">
          <cell r="C80" t="str">
            <v>u/s  234 C</v>
          </cell>
          <cell r="I80" t="str">
            <v>Shortfall</v>
          </cell>
          <cell r="J80" t="str">
            <v>Interest</v>
          </cell>
        </row>
        <row r="81">
          <cell r="C81" t="str">
            <v>Due Date</v>
          </cell>
          <cell r="D81" t="str">
            <v>Installment  Payable</v>
          </cell>
          <cell r="F81" t="str">
            <v>Paid</v>
          </cell>
          <cell r="G81" t="str">
            <v>Shortfall</v>
          </cell>
          <cell r="H81" t="str">
            <v>Interest</v>
          </cell>
        </row>
        <row r="82">
          <cell r="I82">
            <v>0</v>
          </cell>
          <cell r="J82">
            <v>0</v>
          </cell>
        </row>
        <row r="83">
          <cell r="C83" t="str">
            <v>15th  June</v>
          </cell>
          <cell r="D83">
            <v>549490.04999999993</v>
          </cell>
          <cell r="F83">
            <v>500000</v>
          </cell>
          <cell r="G83">
            <v>0</v>
          </cell>
          <cell r="H83">
            <v>0</v>
          </cell>
          <cell r="I83">
            <v>0</v>
          </cell>
          <cell r="J83">
            <v>0</v>
          </cell>
        </row>
        <row r="84">
          <cell r="C84" t="str">
            <v>15th  September</v>
          </cell>
          <cell r="D84">
            <v>1648470.1500000001</v>
          </cell>
          <cell r="F84">
            <v>1500000</v>
          </cell>
          <cell r="G84">
            <v>0</v>
          </cell>
          <cell r="H84">
            <v>0</v>
          </cell>
          <cell r="I84">
            <v>221101.01640743297</v>
          </cell>
          <cell r="J84">
            <v>6633.0304922229889</v>
          </cell>
        </row>
        <row r="85">
          <cell r="C85" t="str">
            <v>15th  December</v>
          </cell>
          <cell r="D85">
            <v>2747450.25</v>
          </cell>
          <cell r="F85">
            <v>2500000</v>
          </cell>
          <cell r="G85">
            <v>247450.25</v>
          </cell>
          <cell r="H85">
            <v>7423.5074999999997</v>
          </cell>
          <cell r="I85">
            <v>828134.6885432438</v>
          </cell>
          <cell r="J85">
            <v>8281.3468854324383</v>
          </cell>
        </row>
        <row r="86">
          <cell r="C86" t="str">
            <v>15th March</v>
          </cell>
          <cell r="D86">
            <v>3663267</v>
          </cell>
          <cell r="F86">
            <v>3500000</v>
          </cell>
          <cell r="G86">
            <v>163267</v>
          </cell>
          <cell r="H86">
            <v>1632.67</v>
          </cell>
          <cell r="J86">
            <v>14914.377377655426</v>
          </cell>
        </row>
        <row r="87">
          <cell r="D87" t="str">
            <v xml:space="preserve">Total  </v>
          </cell>
          <cell r="H87">
            <v>9056.1774999999998</v>
          </cell>
          <cell r="J87">
            <v>56321.111804817614</v>
          </cell>
        </row>
        <row r="88">
          <cell r="H88">
            <v>9056.1774999999998</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266">
          <cell r="G266">
            <v>3612000</v>
          </cell>
        </row>
      </sheetData>
      <sheetData sheetId="32"/>
      <sheetData sheetId="33">
        <row r="9">
          <cell r="F9" t="str">
            <v>GROSS BLOCK</v>
          </cell>
          <cell r="J9" t="str">
            <v>DEPRECIATION</v>
          </cell>
        </row>
        <row r="10">
          <cell r="F10" t="str">
            <v>As On</v>
          </cell>
          <cell r="J10" t="str">
            <v>As On</v>
          </cell>
          <cell r="K10" t="str">
            <v xml:space="preserve">For the </v>
          </cell>
        </row>
        <row r="11">
          <cell r="F11" t="str">
            <v>1.4.2011</v>
          </cell>
          <cell r="J11" t="str">
            <v>1.4.2011</v>
          </cell>
          <cell r="K11" t="str">
            <v>period</v>
          </cell>
        </row>
        <row r="13">
          <cell r="F13">
            <v>0</v>
          </cell>
          <cell r="J13">
            <v>0</v>
          </cell>
          <cell r="K13">
            <v>24766.219999999998</v>
          </cell>
        </row>
        <row r="14">
          <cell r="F14">
            <v>35441727</v>
          </cell>
          <cell r="J14">
            <v>1352425</v>
          </cell>
          <cell r="K14">
            <v>711205</v>
          </cell>
        </row>
        <row r="15">
          <cell r="F15">
            <v>8797838</v>
          </cell>
          <cell r="J15">
            <v>4761027</v>
          </cell>
          <cell r="K15">
            <v>464526</v>
          </cell>
        </row>
        <row r="16">
          <cell r="F16">
            <v>3271975</v>
          </cell>
          <cell r="J16">
            <v>828792</v>
          </cell>
          <cell r="K16">
            <v>211158</v>
          </cell>
        </row>
        <row r="17">
          <cell r="F17">
            <v>1649200</v>
          </cell>
          <cell r="J17">
            <v>1317296</v>
          </cell>
          <cell r="K17">
            <v>267335</v>
          </cell>
        </row>
        <row r="18">
          <cell r="F18">
            <v>4987955</v>
          </cell>
          <cell r="J18">
            <v>1653085</v>
          </cell>
          <cell r="K18">
            <v>315738</v>
          </cell>
        </row>
        <row r="19">
          <cell r="F19">
            <v>1865846</v>
          </cell>
          <cell r="J19">
            <v>366252</v>
          </cell>
          <cell r="K19">
            <v>177255</v>
          </cell>
        </row>
        <row r="20">
          <cell r="F20">
            <v>5901074</v>
          </cell>
          <cell r="J20">
            <v>2751857</v>
          </cell>
          <cell r="K20">
            <v>560602.03</v>
          </cell>
        </row>
        <row r="21">
          <cell r="F21">
            <v>61915615</v>
          </cell>
          <cell r="J21">
            <v>13030734</v>
          </cell>
          <cell r="K21">
            <v>2732585.25</v>
          </cell>
        </row>
        <row r="22">
          <cell r="F22">
            <v>61488017.761250027</v>
          </cell>
          <cell r="J22">
            <v>10663387.5</v>
          </cell>
          <cell r="K22">
            <v>2367346</v>
          </cell>
        </row>
        <row r="23">
          <cell r="K23">
            <v>2559266</v>
          </cell>
        </row>
        <row r="24">
          <cell r="J24">
            <v>366</v>
          </cell>
          <cell r="K24">
            <v>-173319.25</v>
          </cell>
        </row>
        <row r="26">
          <cell r="F26" t="str">
            <v>Amount</v>
          </cell>
        </row>
        <row r="28">
          <cell r="F28">
            <v>0</v>
          </cell>
        </row>
        <row r="29">
          <cell r="F29">
            <v>0</v>
          </cell>
        </row>
        <row r="34">
          <cell r="F34" t="str">
            <v>Amount</v>
          </cell>
        </row>
        <row r="36">
          <cell r="F36">
            <v>72827.75</v>
          </cell>
        </row>
        <row r="37">
          <cell r="F37">
            <v>0</v>
          </cell>
        </row>
        <row r="38">
          <cell r="F38">
            <v>0</v>
          </cell>
        </row>
        <row r="39">
          <cell r="F39">
            <v>72827.75</v>
          </cell>
        </row>
        <row r="43">
          <cell r="F43" t="str">
            <v>Amount</v>
          </cell>
        </row>
        <row r="44">
          <cell r="F44">
            <v>1000000</v>
          </cell>
        </row>
        <row r="45">
          <cell r="F45">
            <v>5000000</v>
          </cell>
        </row>
        <row r="46">
          <cell r="F46">
            <v>619200</v>
          </cell>
        </row>
        <row r="47">
          <cell r="F47">
            <v>200000</v>
          </cell>
        </row>
        <row r="48">
          <cell r="F48">
            <v>10521000</v>
          </cell>
        </row>
        <row r="49">
          <cell r="F49">
            <v>1000500</v>
          </cell>
        </row>
        <row r="50">
          <cell r="F50">
            <v>18340700</v>
          </cell>
        </row>
        <row r="51">
          <cell r="F51">
            <v>16521000</v>
          </cell>
        </row>
        <row r="54">
          <cell r="F54" t="str">
            <v>Amount</v>
          </cell>
        </row>
        <row r="55">
          <cell r="F55">
            <v>5183000</v>
          </cell>
        </row>
        <row r="56">
          <cell r="F56">
            <v>5183000</v>
          </cell>
        </row>
        <row r="62">
          <cell r="F62" t="str">
            <v>WDV</v>
          </cell>
        </row>
        <row r="63">
          <cell r="F63">
            <v>527512.68041095894</v>
          </cell>
        </row>
        <row r="64">
          <cell r="F64">
            <v>475990.95041095896</v>
          </cell>
        </row>
        <row r="65">
          <cell r="F65">
            <v>424469.22041095898</v>
          </cell>
        </row>
        <row r="66">
          <cell r="F66">
            <v>372947.490410959</v>
          </cell>
        </row>
        <row r="67">
          <cell r="F67">
            <v>321425.76041095902</v>
          </cell>
        </row>
        <row r="68">
          <cell r="F68">
            <v>269904.03041095904</v>
          </cell>
        </row>
        <row r="69">
          <cell r="F69">
            <v>218382.30041095903</v>
          </cell>
        </row>
        <row r="70">
          <cell r="F70">
            <v>166860.57041095902</v>
          </cell>
        </row>
        <row r="71">
          <cell r="F71">
            <v>142225.86344374591</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1"/>
      <sheetName val="Result 2"/>
      <sheetName val="Result 3"/>
      <sheetName val="Cash Flow"/>
      <sheetName val="BSPL"/>
      <sheetName val="Sheet5"/>
      <sheetName val="Term Loan Repayment"/>
      <sheetName val="Sheet1"/>
      <sheetName val="TB Detailed"/>
      <sheetName val="Sheet4"/>
      <sheetName val="TB"/>
      <sheetName val="Sheet3"/>
    </sheetNames>
    <sheetDataSet>
      <sheetData sheetId="0"/>
      <sheetData sheetId="1"/>
      <sheetData sheetId="2"/>
      <sheetData sheetId="3">
        <row r="55">
          <cell r="C55">
            <v>40785.304083377123</v>
          </cell>
        </row>
      </sheetData>
      <sheetData sheetId="4"/>
      <sheetData sheetId="5"/>
      <sheetData sheetId="6"/>
      <sheetData sheetId="7"/>
      <sheetData sheetId="8"/>
      <sheetData sheetId="9"/>
      <sheetData sheetId="10"/>
      <sheetData sheetId="1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ies"/>
      <sheetName val="Sale of Vehicle"/>
      <sheetName val="Summary"/>
      <sheetName val="Land"/>
      <sheetName val="Building Other"/>
      <sheetName val="Factory Building "/>
      <sheetName val="Plant &amp; Machinery"/>
      <sheetName val="Electrical Installation"/>
      <sheetName val="Computer"/>
      <sheetName val="Office Equipments"/>
      <sheetName val="Sheet2"/>
      <sheetName val="Furniture &amp; Fixtures"/>
      <sheetName val="Vehicle123"/>
      <sheetName val="Vehicle"/>
      <sheetName val="Sheet1"/>
      <sheetName val="Discardment of FA"/>
      <sheetName val="ADDITNL SHEET"/>
    </sheetNames>
    <sheetDataSet>
      <sheetData sheetId="0"/>
      <sheetData sheetId="1">
        <row r="11">
          <cell r="C11">
            <v>1201804</v>
          </cell>
        </row>
        <row r="13">
          <cell r="C13">
            <v>134545</v>
          </cell>
        </row>
      </sheetData>
      <sheetData sheetId="2"/>
      <sheetData sheetId="3">
        <row r="28">
          <cell r="I28">
            <v>1156703.8999999999</v>
          </cell>
        </row>
        <row r="36">
          <cell r="I36">
            <v>33965000</v>
          </cell>
          <cell r="J36">
            <v>0</v>
          </cell>
        </row>
      </sheetData>
      <sheetData sheetId="4">
        <row r="2125">
          <cell r="I2125">
            <v>24930922.633541044</v>
          </cell>
        </row>
        <row r="2191">
          <cell r="J2191">
            <v>0</v>
          </cell>
        </row>
        <row r="2193">
          <cell r="K2193">
            <v>2946061</v>
          </cell>
          <cell r="T2193">
            <v>924315</v>
          </cell>
        </row>
        <row r="2281">
          <cell r="J2281">
            <v>0</v>
          </cell>
        </row>
      </sheetData>
      <sheetData sheetId="5">
        <row r="320">
          <cell r="I320">
            <v>12311200.980000002</v>
          </cell>
        </row>
        <row r="343">
          <cell r="J343">
            <v>0</v>
          </cell>
        </row>
        <row r="345">
          <cell r="K345">
            <v>0</v>
          </cell>
          <cell r="T345">
            <v>439863</v>
          </cell>
        </row>
        <row r="441">
          <cell r="J441">
            <v>0</v>
          </cell>
        </row>
        <row r="482">
          <cell r="V482">
            <v>573181</v>
          </cell>
        </row>
        <row r="654">
          <cell r="V654">
            <v>1743151</v>
          </cell>
        </row>
        <row r="657">
          <cell r="J657">
            <v>979271.15</v>
          </cell>
        </row>
        <row r="663">
          <cell r="K663">
            <v>0</v>
          </cell>
        </row>
        <row r="664">
          <cell r="I664">
            <v>55036932.399999999</v>
          </cell>
        </row>
      </sheetData>
      <sheetData sheetId="6">
        <row r="2120">
          <cell r="I2120">
            <v>166144358.9295578</v>
          </cell>
        </row>
        <row r="2155">
          <cell r="I2155">
            <v>4705645</v>
          </cell>
        </row>
        <row r="2178">
          <cell r="I2178">
            <v>3076141</v>
          </cell>
        </row>
        <row r="2180">
          <cell r="K2180">
            <v>346879</v>
          </cell>
          <cell r="T2180">
            <v>10612518</v>
          </cell>
        </row>
        <row r="2369">
          <cell r="J2369">
            <v>0</v>
          </cell>
          <cell r="K2369">
            <v>0</v>
          </cell>
        </row>
        <row r="2510">
          <cell r="L2510">
            <v>213053551.07955781</v>
          </cell>
        </row>
        <row r="2542">
          <cell r="J2542">
            <v>4240543.1899999995</v>
          </cell>
        </row>
        <row r="2543">
          <cell r="V2543">
            <v>13101740</v>
          </cell>
        </row>
        <row r="2576">
          <cell r="K2576">
            <v>0</v>
          </cell>
        </row>
      </sheetData>
      <sheetData sheetId="7">
        <row r="494">
          <cell r="I494">
            <v>23050327.140311562</v>
          </cell>
        </row>
        <row r="509">
          <cell r="J509">
            <v>0</v>
          </cell>
        </row>
        <row r="511">
          <cell r="K511">
            <v>30835.08</v>
          </cell>
          <cell r="T511">
            <v>1523925</v>
          </cell>
        </row>
        <row r="542">
          <cell r="J542">
            <v>0</v>
          </cell>
        </row>
        <row r="562">
          <cell r="L562">
            <v>26949654.060311563</v>
          </cell>
        </row>
        <row r="578">
          <cell r="J578">
            <v>1557480.62</v>
          </cell>
          <cell r="K578">
            <v>0</v>
          </cell>
        </row>
        <row r="579">
          <cell r="V579">
            <v>1885458</v>
          </cell>
        </row>
      </sheetData>
      <sheetData sheetId="8">
        <row r="76">
          <cell r="I76">
            <v>793799</v>
          </cell>
        </row>
        <row r="84">
          <cell r="J84">
            <v>0</v>
          </cell>
        </row>
        <row r="86">
          <cell r="T86">
            <v>0</v>
          </cell>
        </row>
        <row r="94">
          <cell r="J94">
            <v>0</v>
          </cell>
        </row>
        <row r="111">
          <cell r="L111">
            <v>1057200.7</v>
          </cell>
          <cell r="V111">
            <v>92736</v>
          </cell>
        </row>
      </sheetData>
      <sheetData sheetId="9">
        <row r="100">
          <cell r="I100">
            <v>752412</v>
          </cell>
        </row>
        <row r="107">
          <cell r="J107">
            <v>0</v>
          </cell>
        </row>
        <row r="109">
          <cell r="T109">
            <v>3183</v>
          </cell>
        </row>
        <row r="115">
          <cell r="J115">
            <v>0</v>
          </cell>
        </row>
        <row r="130">
          <cell r="L130">
            <v>850872.03</v>
          </cell>
        </row>
        <row r="132">
          <cell r="J132">
            <v>33203.129999999997</v>
          </cell>
        </row>
        <row r="136">
          <cell r="V136">
            <v>24077</v>
          </cell>
        </row>
      </sheetData>
      <sheetData sheetId="10"/>
      <sheetData sheetId="11">
        <row r="218">
          <cell r="I218">
            <v>1483465.5</v>
          </cell>
        </row>
        <row r="225">
          <cell r="J225">
            <v>0</v>
          </cell>
        </row>
        <row r="227">
          <cell r="T227">
            <v>29653</v>
          </cell>
        </row>
        <row r="250">
          <cell r="L250">
            <v>1820294.5</v>
          </cell>
          <cell r="V250">
            <v>57979</v>
          </cell>
        </row>
      </sheetData>
      <sheetData sheetId="12">
        <row r="16">
          <cell r="K16">
            <v>1618086</v>
          </cell>
        </row>
        <row r="19">
          <cell r="L19">
            <v>2647473</v>
          </cell>
        </row>
        <row r="20">
          <cell r="I20">
            <v>1961724</v>
          </cell>
          <cell r="V20">
            <v>287798</v>
          </cell>
        </row>
      </sheetData>
      <sheetData sheetId="13">
        <row r="16">
          <cell r="J16">
            <v>0</v>
          </cell>
        </row>
        <row r="18">
          <cell r="I18">
            <v>1618086</v>
          </cell>
          <cell r="T18">
            <v>199629</v>
          </cell>
        </row>
      </sheetData>
      <sheetData sheetId="14"/>
      <sheetData sheetId="15"/>
      <sheetData sheetId="16"/>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1"/>
      <sheetName val="Result 2"/>
      <sheetName val="Sheet3"/>
      <sheetName val="Cash Flow"/>
      <sheetName val="BSPL"/>
      <sheetName val="DEp Co. Act"/>
      <sheetName val="RAtio"/>
      <sheetName val="Pivot"/>
      <sheetName val="CLOSING STOCK AS ON 31-03-2019"/>
      <sheetName val="Computation"/>
      <sheetName val="Disall us 37"/>
      <sheetName val="Defered Tax"/>
      <sheetName val="Comparison Sheet"/>
      <sheetName val="Depreciation Income Tax"/>
      <sheetName val="Closing Stock Valuation"/>
      <sheetName val="TB NEW"/>
      <sheetName val="TB31032019"/>
      <sheetName val="TB31032018"/>
      <sheetName val="Term Loan Repayment"/>
      <sheetName val="Q1"/>
      <sheetName val="Q2"/>
      <sheetName val="Sheet1"/>
      <sheetName val="Sheet2"/>
    </sheetNames>
    <sheetDataSet>
      <sheetData sheetId="0"/>
      <sheetData sheetId="1"/>
      <sheetData sheetId="2"/>
      <sheetData sheetId="3"/>
      <sheetData sheetId="4">
        <row r="429">
          <cell r="F429">
            <v>127820727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CD "/>
      <sheetName val="26 thtb"/>
      <sheetName val="final tb"/>
      <sheetName val="tbbbbb"/>
      <sheetName val="full final tb"/>
      <sheetName val="TB_02.12.15"/>
      <sheetName val="Power"/>
      <sheetName val="EXCISERECO'14-15"/>
      <sheetName val="Excise Duty on Fixed Assets"/>
      <sheetName val="Qty Reco"/>
      <sheetName val="Index"/>
      <sheetName val="FH"/>
      <sheetName val="DR"/>
      <sheetName val="Cntrl Sht Sept. 2014"/>
      <sheetName val="RESULT-BS"/>
      <sheetName val="Trial Balance (2)"/>
      <sheetName val="march 2016"/>
      <sheetName val="Sheet5"/>
      <sheetName val="COI -efiling"/>
      <sheetName val="Balance Sheet"/>
      <sheetName val="CF "/>
      <sheetName val="PIVOT"/>
      <sheetName val="Result-2"/>
      <sheetName val="10 Dep Co"/>
      <sheetName val="Sheet3"/>
      <sheetName val="Sheet4"/>
      <sheetName val="Control Sheet"/>
      <sheetName val="Highlights"/>
      <sheetName val="Ratios"/>
      <sheetName val="Sheet6"/>
      <sheetName val="27-5-2016"/>
      <sheetName val="Sheet7"/>
      <sheetName val="8-06-2016"/>
      <sheetName val="DT 16"/>
      <sheetName val="COI"/>
      <sheetName val="COI  e filing"/>
      <sheetName val="Result"/>
      <sheetName val="TB New"/>
      <sheetName val="NEW 3CD"/>
      <sheetName val="Ann A"/>
      <sheetName val="Ann B"/>
      <sheetName val="Ann . C"/>
      <sheetName val="Ann D"/>
      <sheetName val="ANN-E"/>
      <sheetName val="Unsecured Loan"/>
      <sheetName val="Ann. F"/>
      <sheetName val="Ann G"/>
      <sheetName val="Ann. H"/>
      <sheetName val="Ann. G"/>
      <sheetName val="tb 29.05.2017"/>
      <sheetName val="FG Value"/>
      <sheetName val="Trial Balance"/>
      <sheetName val="Sheet1"/>
      <sheetName val="STOCK"/>
      <sheetName val="RESULT March 14"/>
      <sheetName val="Sheet3 (2)"/>
      <sheetName val="Analysis"/>
      <sheetName val="Adv"/>
      <sheetName val="St Value"/>
      <sheetName val="Yield"/>
      <sheetName val="Advance To Capital Goods"/>
      <sheetName val="AS 28"/>
      <sheetName val="Interest"/>
      <sheetName val="loss on fire"/>
      <sheetName val="tb 02.05.2017"/>
      <sheetName val="Cash Note"/>
      <sheetName val="MSEB"/>
      <sheetName val="working Note 37"/>
      <sheetName val="tb 24.05.2017"/>
      <sheetName val="Sheet2"/>
      <sheetName val="QTLY RESULT"/>
      <sheetName val="ANN-E (2)"/>
      <sheetName val="Ann. H (2)"/>
      <sheetName val="Cash Flow"/>
      <sheetName val="Results 1"/>
      <sheetName val="Results 2"/>
      <sheetName val="1"/>
      <sheetName val="Q1 Result"/>
      <sheetName val="FA As per Co. Act"/>
      <sheetName val="Debtors Creditors"/>
      <sheetName val="Computation"/>
      <sheetName val="DT sep17"/>
      <sheetName val="Dep as Income Tax"/>
      <sheetName val="FA AS per CA"/>
      <sheetName val="Adjustment 2017-18"/>
      <sheetName val="Adjustment1516"/>
      <sheetName val="Adjustment1617"/>
      <sheetName val="TB New (2)"/>
      <sheetName val="CMA"/>
      <sheetName val="DT"/>
      <sheetName val="Q1 TB"/>
      <sheetName val="TB210518"/>
      <sheetName val="TB JAN18"/>
      <sheetName val="ind AS reco"/>
      <sheetName val="IND AS "/>
      <sheetName val="TB31032018"/>
      <sheetName val="TB150518"/>
      <sheetName val="TB200518"/>
      <sheetName val="Queries"/>
      <sheetName val="Sheet8"/>
      <sheetName val="Sheet9"/>
      <sheetName val="Sheet10"/>
      <sheetName val="Production"/>
      <sheetName val="Sundaram TL"/>
    </sheetNames>
    <sheetDataSet>
      <sheetData sheetId="0"/>
      <sheetData sheetId="1"/>
      <sheetData sheetId="2"/>
      <sheetData sheetId="3"/>
      <sheetData sheetId="4"/>
      <sheetData sheetId="5"/>
      <sheetData sheetId="6"/>
      <sheetData sheetId="7"/>
      <sheetData sheetId="8"/>
      <sheetData sheetId="9">
        <row r="78">
          <cell r="E78">
            <v>454903714</v>
          </cell>
        </row>
      </sheetData>
      <sheetData sheetId="10"/>
      <sheetData sheetId="11"/>
      <sheetData sheetId="12"/>
      <sheetData sheetId="13"/>
      <sheetData sheetId="14"/>
      <sheetData sheetId="15"/>
      <sheetData sheetId="16"/>
      <sheetData sheetId="17"/>
      <sheetData sheetId="18"/>
      <sheetData sheetId="19">
        <row r="78">
          <cell r="E78">
            <v>454903714</v>
          </cell>
        </row>
        <row r="519">
          <cell r="B519" t="str">
            <v>Contribution to Funds</v>
          </cell>
        </row>
        <row r="538">
          <cell r="B538" t="str">
            <v>Raw Material Sorting Charges</v>
          </cell>
        </row>
        <row r="541">
          <cell r="B541" t="str">
            <v>Finished Goods Packing and Allied Charges</v>
          </cell>
        </row>
      </sheetData>
      <sheetData sheetId="20"/>
      <sheetData sheetId="21"/>
      <sheetData sheetId="22"/>
      <sheetData sheetId="23">
        <row r="23">
          <cell r="D23">
            <v>33191932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23">
          <cell r="D23">
            <v>33191932</v>
          </cell>
        </row>
      </sheetData>
      <sheetData sheetId="58"/>
      <sheetData sheetId="59">
        <row r="42">
          <cell r="B42" t="str">
            <v>YIELD : (%)</v>
          </cell>
        </row>
      </sheetData>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
      <sheetName val="QTLY RESULT"/>
      <sheetName val="ANN-E (2)"/>
      <sheetName val="Ann. H (2)"/>
      <sheetName val="Cash Flow"/>
      <sheetName val="Balance Sheet"/>
      <sheetName val="PIVOT"/>
      <sheetName val="FA As per Co. Act"/>
      <sheetName val="Debtors Creditors"/>
      <sheetName val="FG Value"/>
      <sheetName val="Computation"/>
      <sheetName val="Sheet5"/>
      <sheetName val="DT sep17"/>
      <sheetName val="Dep as Income Tax"/>
      <sheetName val="FA AS per CA"/>
      <sheetName val="Adjustment 2017-18"/>
      <sheetName val="Adjustment1516"/>
      <sheetName val="Adjustment1617"/>
      <sheetName val="TB New (2)"/>
      <sheetName val="CMA"/>
      <sheetName val="Sheet1"/>
      <sheetName val="Sheet2"/>
      <sheetName val="DT"/>
      <sheetName val="Sheet4"/>
      <sheetName val="TB New"/>
      <sheetName val="TB210518"/>
      <sheetName val="TB JAN18"/>
      <sheetName val="ind AS reco"/>
      <sheetName val="tb 29.05.2017"/>
      <sheetName val="IND AS "/>
      <sheetName val="NEW 3CD"/>
      <sheetName val="Ann B"/>
      <sheetName val="Ann . C"/>
      <sheetName val="Ann D"/>
      <sheetName val="ANN-E"/>
      <sheetName val="Ann. F"/>
      <sheetName val="Ann G"/>
      <sheetName val="Ann. H"/>
      <sheetName val="Ann. G"/>
      <sheetName val="TB31032018"/>
      <sheetName val="TB150518"/>
      <sheetName val="TB200518"/>
      <sheetName val="Sheet3"/>
    </sheetNames>
    <sheetDataSet>
      <sheetData sheetId="0"/>
      <sheetData sheetId="1"/>
      <sheetData sheetId="2"/>
      <sheetData sheetId="3"/>
      <sheetData sheetId="4"/>
      <sheetData sheetId="5">
        <row r="28">
          <cell r="F28">
            <v>0</v>
          </cell>
        </row>
        <row r="29">
          <cell r="F29">
            <v>26922650</v>
          </cell>
        </row>
        <row r="33">
          <cell r="F33">
            <v>26922640</v>
          </cell>
        </row>
      </sheetData>
      <sheetData sheetId="6"/>
      <sheetData sheetId="7">
        <row r="59">
          <cell r="D59">
            <v>2840349</v>
          </cell>
          <cell r="F59">
            <v>0</v>
          </cell>
        </row>
      </sheetData>
      <sheetData sheetId="8"/>
      <sheetData sheetId="9"/>
      <sheetData sheetId="10">
        <row r="42">
          <cell r="J42">
            <v>16467743.581366368</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1"/>
      <sheetName val="Result 2"/>
      <sheetName val="Sheet3"/>
      <sheetName val="Cash Flow"/>
      <sheetName val="BSPL"/>
      <sheetName val="Pivot"/>
      <sheetName val="TB NEW"/>
      <sheetName val="Term Loan Repayment"/>
      <sheetName val="DEp Co. Act"/>
      <sheetName val="RAtio"/>
      <sheetName val="CLOSING STOCK AS ON 31-03-2019"/>
      <sheetName val="Computation"/>
      <sheetName val="Disall us 37"/>
      <sheetName val="Defered Tax"/>
      <sheetName val="Comparison Sheet"/>
      <sheetName val="Depreciation Income Tax"/>
      <sheetName val="Closing Stock Valuation"/>
      <sheetName val="TB31032020"/>
      <sheetName val="TB31032019"/>
      <sheetName val="TB31032018"/>
      <sheetName val="Sheet1"/>
      <sheetName val="Sheet2"/>
    </sheetNames>
    <sheetDataSet>
      <sheetData sheetId="0"/>
      <sheetData sheetId="1"/>
      <sheetData sheetId="2"/>
      <sheetData sheetId="3"/>
      <sheetData sheetId="4"/>
      <sheetData sheetId="5"/>
      <sheetData sheetId="6">
        <row r="6">
          <cell r="A6" t="str">
            <v>A K R G &amp; Associates, Nagpur</v>
          </cell>
          <cell r="B6">
            <v>7</v>
          </cell>
          <cell r="C6" t="str">
            <v>Trade Payables</v>
          </cell>
          <cell r="D6" t="str">
            <v>Trade Payables</v>
          </cell>
          <cell r="E6">
            <v>0</v>
          </cell>
          <cell r="F6">
            <v>0</v>
          </cell>
          <cell r="G6">
            <v>0</v>
          </cell>
          <cell r="H6">
            <v>135000</v>
          </cell>
          <cell r="I6">
            <v>0</v>
          </cell>
          <cell r="J6">
            <v>135000</v>
          </cell>
          <cell r="K6">
            <v>0</v>
          </cell>
          <cell r="L6">
            <v>0</v>
          </cell>
          <cell r="M6">
            <v>0</v>
          </cell>
          <cell r="N6">
            <v>86400</v>
          </cell>
          <cell r="O6">
            <v>0</v>
          </cell>
          <cell r="P6">
            <v>86400</v>
          </cell>
        </row>
        <row r="7">
          <cell r="A7" t="str">
            <v>IKP Industries Pvt. Ltd.</v>
          </cell>
          <cell r="B7">
            <v>7</v>
          </cell>
          <cell r="C7" t="str">
            <v>Trade Payables</v>
          </cell>
          <cell r="D7" t="str">
            <v>Trade Payables</v>
          </cell>
          <cell r="E7">
            <v>0</v>
          </cell>
          <cell r="F7">
            <v>0</v>
          </cell>
          <cell r="G7">
            <v>0</v>
          </cell>
          <cell r="H7">
            <v>1762042</v>
          </cell>
          <cell r="I7">
            <v>0</v>
          </cell>
          <cell r="J7">
            <v>1762042</v>
          </cell>
          <cell r="K7">
            <v>0</v>
          </cell>
          <cell r="L7">
            <v>0</v>
          </cell>
          <cell r="M7">
            <v>0</v>
          </cell>
          <cell r="N7">
            <v>0</v>
          </cell>
          <cell r="O7">
            <v>0</v>
          </cell>
          <cell r="P7">
            <v>0</v>
          </cell>
        </row>
        <row r="8">
          <cell r="A8" t="str">
            <v>Somani Packers</v>
          </cell>
          <cell r="B8">
            <v>7</v>
          </cell>
          <cell r="C8" t="str">
            <v>Trade Payables</v>
          </cell>
          <cell r="D8" t="str">
            <v>Trade Payables</v>
          </cell>
          <cell r="E8">
            <v>0</v>
          </cell>
          <cell r="F8">
            <v>0</v>
          </cell>
          <cell r="G8">
            <v>0</v>
          </cell>
          <cell r="H8">
            <v>16225</v>
          </cell>
          <cell r="I8">
            <v>0</v>
          </cell>
          <cell r="J8">
            <v>16225</v>
          </cell>
          <cell r="K8">
            <v>0</v>
          </cell>
          <cell r="L8">
            <v>0</v>
          </cell>
          <cell r="M8">
            <v>0</v>
          </cell>
          <cell r="N8">
            <v>0</v>
          </cell>
          <cell r="O8">
            <v>0</v>
          </cell>
          <cell r="P8">
            <v>0</v>
          </cell>
        </row>
        <row r="9">
          <cell r="A9" t="str">
            <v>Maa Tarini Traders</v>
          </cell>
          <cell r="B9">
            <v>7</v>
          </cell>
          <cell r="C9" t="str">
            <v>Trade Payables</v>
          </cell>
          <cell r="D9" t="str">
            <v>Trade Payables</v>
          </cell>
          <cell r="E9">
            <v>0</v>
          </cell>
          <cell r="F9">
            <v>0</v>
          </cell>
          <cell r="G9">
            <v>0</v>
          </cell>
          <cell r="H9">
            <v>9718146.5</v>
          </cell>
          <cell r="I9">
            <v>0</v>
          </cell>
          <cell r="J9">
            <v>9718146.5</v>
          </cell>
          <cell r="K9">
            <v>0</v>
          </cell>
          <cell r="L9">
            <v>0</v>
          </cell>
          <cell r="M9">
            <v>0</v>
          </cell>
          <cell r="N9">
            <v>0</v>
          </cell>
          <cell r="O9">
            <v>0</v>
          </cell>
          <cell r="P9">
            <v>0</v>
          </cell>
        </row>
        <row r="10">
          <cell r="A10" t="str">
            <v>Shree Trade Links (Pkg)</v>
          </cell>
          <cell r="B10">
            <v>7</v>
          </cell>
          <cell r="C10" t="str">
            <v>Trade Payables</v>
          </cell>
          <cell r="D10" t="str">
            <v>Trade Payables</v>
          </cell>
          <cell r="E10">
            <v>0</v>
          </cell>
          <cell r="F10">
            <v>0</v>
          </cell>
          <cell r="G10">
            <v>0</v>
          </cell>
          <cell r="H10">
            <v>9167</v>
          </cell>
          <cell r="I10">
            <v>0</v>
          </cell>
          <cell r="J10">
            <v>9167</v>
          </cell>
          <cell r="K10">
            <v>0</v>
          </cell>
          <cell r="L10">
            <v>0</v>
          </cell>
          <cell r="M10">
            <v>0</v>
          </cell>
          <cell r="N10">
            <v>0</v>
          </cell>
          <cell r="O10">
            <v>0</v>
          </cell>
          <cell r="P10">
            <v>0</v>
          </cell>
        </row>
        <row r="11">
          <cell r="A11" t="str">
            <v>Vertex Films Pvt. Ltd.</v>
          </cell>
          <cell r="B11">
            <v>7</v>
          </cell>
          <cell r="C11" t="str">
            <v>Trade Payables</v>
          </cell>
          <cell r="D11" t="str">
            <v>Trade Payables</v>
          </cell>
          <cell r="E11">
            <v>0</v>
          </cell>
          <cell r="F11">
            <v>0</v>
          </cell>
          <cell r="G11">
            <v>0</v>
          </cell>
          <cell r="H11">
            <v>8130</v>
          </cell>
          <cell r="I11">
            <v>0</v>
          </cell>
          <cell r="J11">
            <v>8130</v>
          </cell>
          <cell r="K11">
            <v>0</v>
          </cell>
          <cell r="L11">
            <v>0</v>
          </cell>
          <cell r="M11">
            <v>0</v>
          </cell>
          <cell r="N11">
            <v>0</v>
          </cell>
          <cell r="O11">
            <v>0</v>
          </cell>
          <cell r="P11">
            <v>0</v>
          </cell>
        </row>
        <row r="12">
          <cell r="A12" t="str">
            <v>Village Computer System, Nagpur</v>
          </cell>
          <cell r="B12">
            <v>7</v>
          </cell>
          <cell r="C12" t="str">
            <v>Trade Payables</v>
          </cell>
          <cell r="D12" t="str">
            <v>Trade Payables</v>
          </cell>
          <cell r="E12">
            <v>0</v>
          </cell>
          <cell r="F12">
            <v>0</v>
          </cell>
          <cell r="G12">
            <v>0</v>
          </cell>
          <cell r="H12">
            <v>7780</v>
          </cell>
          <cell r="I12">
            <v>0</v>
          </cell>
          <cell r="J12">
            <v>7780</v>
          </cell>
          <cell r="K12">
            <v>0</v>
          </cell>
          <cell r="L12">
            <v>0</v>
          </cell>
          <cell r="M12">
            <v>0</v>
          </cell>
          <cell r="N12">
            <v>0</v>
          </cell>
          <cell r="O12">
            <v>0</v>
          </cell>
          <cell r="P12">
            <v>0</v>
          </cell>
        </row>
        <row r="13">
          <cell r="A13" t="str">
            <v>Aditya Freight Carriers</v>
          </cell>
          <cell r="B13">
            <v>7</v>
          </cell>
          <cell r="C13" t="str">
            <v>Trade Payables</v>
          </cell>
          <cell r="D13" t="str">
            <v>Trade Payables - Others</v>
          </cell>
          <cell r="E13">
            <v>0</v>
          </cell>
          <cell r="F13">
            <v>0</v>
          </cell>
          <cell r="G13">
            <v>0</v>
          </cell>
          <cell r="H13">
            <v>892701</v>
          </cell>
          <cell r="I13">
            <v>0</v>
          </cell>
          <cell r="J13">
            <v>892701</v>
          </cell>
          <cell r="K13">
            <v>0</v>
          </cell>
          <cell r="L13">
            <v>0</v>
          </cell>
          <cell r="M13">
            <v>0</v>
          </cell>
          <cell r="N13">
            <v>0</v>
          </cell>
          <cell r="O13">
            <v>0</v>
          </cell>
          <cell r="P13">
            <v>0</v>
          </cell>
        </row>
        <row r="14">
          <cell r="A14" t="str">
            <v>Makharia Machineries Pvt. Ltd.</v>
          </cell>
          <cell r="B14">
            <v>7</v>
          </cell>
          <cell r="C14" t="str">
            <v>Trade Payables</v>
          </cell>
          <cell r="D14" t="str">
            <v>Trade Payables - Others</v>
          </cell>
          <cell r="E14">
            <v>18479</v>
          </cell>
          <cell r="F14">
            <v>0</v>
          </cell>
          <cell r="G14">
            <v>18479</v>
          </cell>
          <cell r="H14">
            <v>0</v>
          </cell>
          <cell r="I14">
            <v>0</v>
          </cell>
          <cell r="J14">
            <v>0</v>
          </cell>
          <cell r="K14">
            <v>0</v>
          </cell>
          <cell r="L14">
            <v>0</v>
          </cell>
          <cell r="M14">
            <v>0</v>
          </cell>
          <cell r="N14">
            <v>0</v>
          </cell>
          <cell r="O14">
            <v>0</v>
          </cell>
          <cell r="P14">
            <v>0</v>
          </cell>
        </row>
        <row r="15">
          <cell r="A15" t="str">
            <v>R &amp; Y LOGISTICS PVT. LTD</v>
          </cell>
          <cell r="B15">
            <v>7</v>
          </cell>
          <cell r="C15" t="str">
            <v>Trade Payables</v>
          </cell>
          <cell r="D15" t="str">
            <v>Trade Payables - Others</v>
          </cell>
          <cell r="E15">
            <v>5079</v>
          </cell>
          <cell r="F15">
            <v>0</v>
          </cell>
          <cell r="G15">
            <v>5079</v>
          </cell>
          <cell r="H15">
            <v>0</v>
          </cell>
          <cell r="I15">
            <v>0</v>
          </cell>
          <cell r="J15">
            <v>0</v>
          </cell>
          <cell r="K15">
            <v>0</v>
          </cell>
          <cell r="L15">
            <v>0</v>
          </cell>
          <cell r="M15">
            <v>0</v>
          </cell>
          <cell r="N15">
            <v>0</v>
          </cell>
          <cell r="O15">
            <v>0</v>
          </cell>
          <cell r="P15">
            <v>0</v>
          </cell>
        </row>
        <row r="16">
          <cell r="A16" t="str">
            <v>Franking Charges Payable Ag Import OCC</v>
          </cell>
          <cell r="B16">
            <v>7</v>
          </cell>
          <cell r="C16" t="str">
            <v>Trade Payables</v>
          </cell>
          <cell r="D16" t="str">
            <v>Trade Payables - Others</v>
          </cell>
          <cell r="E16">
            <v>0</v>
          </cell>
          <cell r="F16">
            <v>0</v>
          </cell>
          <cell r="G16">
            <v>0</v>
          </cell>
          <cell r="H16">
            <v>83450</v>
          </cell>
          <cell r="I16">
            <v>0</v>
          </cell>
          <cell r="J16">
            <v>83450</v>
          </cell>
          <cell r="K16">
            <v>0</v>
          </cell>
          <cell r="L16">
            <v>0</v>
          </cell>
          <cell r="M16">
            <v>0</v>
          </cell>
          <cell r="N16">
            <v>0</v>
          </cell>
          <cell r="O16">
            <v>0</v>
          </cell>
          <cell r="P16">
            <v>0</v>
          </cell>
        </row>
        <row r="17">
          <cell r="A17" t="str">
            <v>K.R.V. Express</v>
          </cell>
          <cell r="B17">
            <v>7</v>
          </cell>
          <cell r="C17" t="str">
            <v>Trade Payables</v>
          </cell>
          <cell r="D17" t="str">
            <v>Trade Payables - Others</v>
          </cell>
          <cell r="E17">
            <v>0</v>
          </cell>
          <cell r="F17">
            <v>0</v>
          </cell>
          <cell r="G17">
            <v>0</v>
          </cell>
          <cell r="H17">
            <v>2463</v>
          </cell>
          <cell r="I17">
            <v>0</v>
          </cell>
          <cell r="J17">
            <v>2463</v>
          </cell>
          <cell r="K17">
            <v>0</v>
          </cell>
          <cell r="L17">
            <v>0</v>
          </cell>
          <cell r="M17">
            <v>0</v>
          </cell>
          <cell r="N17">
            <v>0</v>
          </cell>
          <cell r="O17">
            <v>0</v>
          </cell>
          <cell r="P17">
            <v>0</v>
          </cell>
        </row>
        <row r="18">
          <cell r="A18" t="str">
            <v>Akhilesh Automobiles</v>
          </cell>
          <cell r="B18">
            <v>7</v>
          </cell>
          <cell r="C18" t="str">
            <v>Trade Payables</v>
          </cell>
          <cell r="D18" t="str">
            <v>Trade Payables - Others</v>
          </cell>
          <cell r="E18">
            <v>0</v>
          </cell>
          <cell r="F18">
            <v>0</v>
          </cell>
          <cell r="G18">
            <v>0</v>
          </cell>
          <cell r="H18">
            <v>6800</v>
          </cell>
          <cell r="I18">
            <v>0</v>
          </cell>
          <cell r="J18">
            <v>6800</v>
          </cell>
          <cell r="K18">
            <v>0</v>
          </cell>
          <cell r="L18">
            <v>0</v>
          </cell>
          <cell r="M18">
            <v>0</v>
          </cell>
          <cell r="N18">
            <v>0</v>
          </cell>
          <cell r="O18">
            <v>0</v>
          </cell>
          <cell r="P18">
            <v>0</v>
          </cell>
        </row>
        <row r="19">
          <cell r="A19" t="str">
            <v>Aru Technocratics</v>
          </cell>
          <cell r="B19">
            <v>7</v>
          </cell>
          <cell r="C19" t="str">
            <v>Trade Payables</v>
          </cell>
          <cell r="D19" t="str">
            <v>Trade Payables - Others</v>
          </cell>
          <cell r="E19">
            <v>0</v>
          </cell>
          <cell r="F19">
            <v>0</v>
          </cell>
          <cell r="G19">
            <v>0</v>
          </cell>
          <cell r="H19">
            <v>46846</v>
          </cell>
          <cell r="I19">
            <v>0</v>
          </cell>
          <cell r="J19">
            <v>46846</v>
          </cell>
          <cell r="K19">
            <v>0</v>
          </cell>
          <cell r="L19">
            <v>0</v>
          </cell>
          <cell r="M19">
            <v>0</v>
          </cell>
          <cell r="N19">
            <v>0</v>
          </cell>
          <cell r="O19">
            <v>0</v>
          </cell>
          <cell r="P19">
            <v>0</v>
          </cell>
        </row>
        <row r="20">
          <cell r="A20" t="str">
            <v>Chandak Nursing Home</v>
          </cell>
          <cell r="B20">
            <v>7</v>
          </cell>
          <cell r="C20" t="str">
            <v>Trade Payables</v>
          </cell>
          <cell r="D20" t="str">
            <v>Trade Payables - Others</v>
          </cell>
          <cell r="E20">
            <v>0</v>
          </cell>
          <cell r="F20">
            <v>0</v>
          </cell>
          <cell r="G20">
            <v>0</v>
          </cell>
          <cell r="H20">
            <v>7300</v>
          </cell>
          <cell r="I20">
            <v>0</v>
          </cell>
          <cell r="J20">
            <v>7300</v>
          </cell>
          <cell r="K20">
            <v>0</v>
          </cell>
          <cell r="L20">
            <v>0</v>
          </cell>
          <cell r="M20">
            <v>0</v>
          </cell>
          <cell r="N20">
            <v>0</v>
          </cell>
          <cell r="O20">
            <v>0</v>
          </cell>
          <cell r="P20">
            <v>0</v>
          </cell>
        </row>
        <row r="21">
          <cell r="A21" t="str">
            <v>Worlds Window Wardha Infrastructure Pvt Ltd</v>
          </cell>
          <cell r="B21">
            <v>7</v>
          </cell>
          <cell r="C21" t="str">
            <v>Trade Payables</v>
          </cell>
          <cell r="D21" t="str">
            <v>Trade Payables - Others</v>
          </cell>
          <cell r="E21">
            <v>0</v>
          </cell>
          <cell r="F21">
            <v>0</v>
          </cell>
          <cell r="G21">
            <v>0</v>
          </cell>
          <cell r="H21">
            <v>28626</v>
          </cell>
          <cell r="I21">
            <v>0</v>
          </cell>
          <cell r="J21">
            <v>28626</v>
          </cell>
          <cell r="K21">
            <v>0</v>
          </cell>
          <cell r="L21">
            <v>0</v>
          </cell>
          <cell r="M21">
            <v>0</v>
          </cell>
          <cell r="N21">
            <v>0</v>
          </cell>
          <cell r="O21">
            <v>0</v>
          </cell>
          <cell r="P21">
            <v>0</v>
          </cell>
        </row>
        <row r="22">
          <cell r="A22" t="str">
            <v>Green Agro Industries</v>
          </cell>
          <cell r="B22">
            <v>7</v>
          </cell>
          <cell r="C22" t="str">
            <v>Trade Payables</v>
          </cell>
          <cell r="D22" t="str">
            <v>Trade Payables - Others</v>
          </cell>
          <cell r="E22">
            <v>0</v>
          </cell>
          <cell r="F22">
            <v>0</v>
          </cell>
          <cell r="G22">
            <v>0</v>
          </cell>
          <cell r="H22">
            <v>175820</v>
          </cell>
          <cell r="I22">
            <v>0</v>
          </cell>
          <cell r="J22">
            <v>175820</v>
          </cell>
          <cell r="K22">
            <v>0</v>
          </cell>
          <cell r="L22">
            <v>0</v>
          </cell>
          <cell r="M22">
            <v>0</v>
          </cell>
          <cell r="N22">
            <v>0</v>
          </cell>
          <cell r="O22">
            <v>0</v>
          </cell>
          <cell r="P22">
            <v>0</v>
          </cell>
        </row>
        <row r="23">
          <cell r="A23" t="str">
            <v>Gupta Machinery Stores, Nagpur</v>
          </cell>
          <cell r="B23">
            <v>7</v>
          </cell>
          <cell r="C23" t="str">
            <v>Trade Payables</v>
          </cell>
          <cell r="D23" t="str">
            <v>Trade Payables - Others</v>
          </cell>
          <cell r="E23">
            <v>0</v>
          </cell>
          <cell r="F23">
            <v>0</v>
          </cell>
          <cell r="G23">
            <v>0</v>
          </cell>
          <cell r="H23">
            <v>7608</v>
          </cell>
          <cell r="I23">
            <v>0</v>
          </cell>
          <cell r="J23">
            <v>7608</v>
          </cell>
          <cell r="K23">
            <v>0</v>
          </cell>
          <cell r="L23">
            <v>0</v>
          </cell>
          <cell r="M23">
            <v>0</v>
          </cell>
          <cell r="N23">
            <v>0</v>
          </cell>
          <cell r="O23">
            <v>0</v>
          </cell>
          <cell r="P23">
            <v>0</v>
          </cell>
        </row>
        <row r="24">
          <cell r="A24" t="str">
            <v>Jainam Multi-Product (India) Pvt Ltd</v>
          </cell>
          <cell r="B24">
            <v>7</v>
          </cell>
          <cell r="C24" t="str">
            <v>Trade Payables</v>
          </cell>
          <cell r="D24" t="str">
            <v>Trade Payables - Others</v>
          </cell>
          <cell r="E24">
            <v>0</v>
          </cell>
          <cell r="F24">
            <v>0</v>
          </cell>
          <cell r="G24">
            <v>0</v>
          </cell>
          <cell r="H24">
            <v>2950</v>
          </cell>
          <cell r="I24">
            <v>0</v>
          </cell>
          <cell r="J24">
            <v>2950</v>
          </cell>
          <cell r="K24">
            <v>0</v>
          </cell>
          <cell r="L24">
            <v>0</v>
          </cell>
          <cell r="M24">
            <v>0</v>
          </cell>
          <cell r="N24">
            <v>0</v>
          </cell>
          <cell r="O24">
            <v>0</v>
          </cell>
          <cell r="P24">
            <v>0</v>
          </cell>
        </row>
        <row r="25">
          <cell r="A25" t="str">
            <v>JINDAL MEDICOSE, NAGPUR</v>
          </cell>
          <cell r="B25">
            <v>7</v>
          </cell>
          <cell r="C25" t="str">
            <v>Trade Payables</v>
          </cell>
          <cell r="D25" t="str">
            <v>Trade Payables - Others</v>
          </cell>
          <cell r="E25">
            <v>0</v>
          </cell>
          <cell r="F25">
            <v>0</v>
          </cell>
          <cell r="G25">
            <v>0</v>
          </cell>
          <cell r="H25">
            <v>6434</v>
          </cell>
          <cell r="I25">
            <v>0</v>
          </cell>
          <cell r="J25">
            <v>6434</v>
          </cell>
          <cell r="K25">
            <v>0</v>
          </cell>
          <cell r="L25">
            <v>0</v>
          </cell>
          <cell r="M25">
            <v>0</v>
          </cell>
          <cell r="N25">
            <v>0</v>
          </cell>
          <cell r="O25">
            <v>0</v>
          </cell>
          <cell r="P25">
            <v>0</v>
          </cell>
        </row>
        <row r="26">
          <cell r="A26" t="str">
            <v>Jus Enterprises</v>
          </cell>
          <cell r="B26">
            <v>7</v>
          </cell>
          <cell r="C26" t="str">
            <v>Trade Payables</v>
          </cell>
          <cell r="D26" t="str">
            <v>Trade Payables - Others</v>
          </cell>
          <cell r="E26">
            <v>0</v>
          </cell>
          <cell r="F26">
            <v>0</v>
          </cell>
          <cell r="G26">
            <v>0</v>
          </cell>
          <cell r="H26">
            <v>21679</v>
          </cell>
          <cell r="I26">
            <v>0</v>
          </cell>
          <cell r="J26">
            <v>21679</v>
          </cell>
          <cell r="K26">
            <v>0</v>
          </cell>
          <cell r="L26">
            <v>0</v>
          </cell>
          <cell r="M26">
            <v>0</v>
          </cell>
          <cell r="N26">
            <v>0</v>
          </cell>
          <cell r="O26">
            <v>0</v>
          </cell>
          <cell r="P26">
            <v>0</v>
          </cell>
        </row>
        <row r="27">
          <cell r="A27" t="str">
            <v>Narayan Auto Part Service</v>
          </cell>
          <cell r="B27">
            <v>7</v>
          </cell>
          <cell r="C27" t="str">
            <v>Trade Payables</v>
          </cell>
          <cell r="D27" t="str">
            <v>Trade Payables - Others</v>
          </cell>
          <cell r="E27">
            <v>0</v>
          </cell>
          <cell r="F27">
            <v>0</v>
          </cell>
          <cell r="G27">
            <v>0</v>
          </cell>
          <cell r="H27">
            <v>14593</v>
          </cell>
          <cell r="I27">
            <v>0</v>
          </cell>
          <cell r="J27">
            <v>14593</v>
          </cell>
          <cell r="K27">
            <v>0</v>
          </cell>
          <cell r="L27">
            <v>0</v>
          </cell>
          <cell r="M27">
            <v>0</v>
          </cell>
          <cell r="N27">
            <v>0</v>
          </cell>
          <cell r="O27">
            <v>0</v>
          </cell>
          <cell r="P27">
            <v>0</v>
          </cell>
        </row>
        <row r="28">
          <cell r="A28" t="str">
            <v>Niraj Engineering Co. Pvt. Ltd</v>
          </cell>
          <cell r="B28">
            <v>7</v>
          </cell>
          <cell r="C28" t="str">
            <v>Trade Payables</v>
          </cell>
          <cell r="D28" t="str">
            <v>Trade Payables - Others</v>
          </cell>
          <cell r="E28">
            <v>0</v>
          </cell>
          <cell r="F28">
            <v>0</v>
          </cell>
          <cell r="G28">
            <v>0</v>
          </cell>
          <cell r="H28">
            <v>236422</v>
          </cell>
          <cell r="I28">
            <v>0</v>
          </cell>
          <cell r="J28">
            <v>236422</v>
          </cell>
          <cell r="K28">
            <v>0</v>
          </cell>
          <cell r="L28">
            <v>0</v>
          </cell>
          <cell r="M28">
            <v>0</v>
          </cell>
          <cell r="N28">
            <v>0</v>
          </cell>
          <cell r="O28">
            <v>0</v>
          </cell>
          <cell r="P28">
            <v>0</v>
          </cell>
        </row>
        <row r="29">
          <cell r="A29" t="str">
            <v>Pooja Atul Hurkat</v>
          </cell>
          <cell r="B29">
            <v>7</v>
          </cell>
          <cell r="C29" t="str">
            <v>Trade Payables</v>
          </cell>
          <cell r="D29" t="str">
            <v>Trade Payables - Others</v>
          </cell>
          <cell r="E29">
            <v>0</v>
          </cell>
          <cell r="F29">
            <v>0</v>
          </cell>
          <cell r="G29">
            <v>0</v>
          </cell>
          <cell r="H29">
            <v>81000</v>
          </cell>
          <cell r="I29">
            <v>0</v>
          </cell>
          <cell r="J29">
            <v>81000</v>
          </cell>
          <cell r="K29">
            <v>0</v>
          </cell>
          <cell r="L29">
            <v>0</v>
          </cell>
          <cell r="M29">
            <v>0</v>
          </cell>
          <cell r="N29">
            <v>0</v>
          </cell>
          <cell r="O29">
            <v>0</v>
          </cell>
          <cell r="P29">
            <v>0</v>
          </cell>
        </row>
        <row r="30">
          <cell r="A30" t="str">
            <v>Relief Lab Pvt. Ltd.</v>
          </cell>
          <cell r="B30">
            <v>7</v>
          </cell>
          <cell r="C30" t="str">
            <v>Trade Payables</v>
          </cell>
          <cell r="D30" t="str">
            <v>Trade Payables - Others</v>
          </cell>
          <cell r="E30">
            <v>0</v>
          </cell>
          <cell r="F30">
            <v>0</v>
          </cell>
          <cell r="G30">
            <v>0</v>
          </cell>
          <cell r="H30">
            <v>51508</v>
          </cell>
          <cell r="I30">
            <v>0</v>
          </cell>
          <cell r="J30">
            <v>51508</v>
          </cell>
          <cell r="K30">
            <v>0</v>
          </cell>
          <cell r="L30">
            <v>0</v>
          </cell>
          <cell r="M30">
            <v>0</v>
          </cell>
          <cell r="N30">
            <v>0</v>
          </cell>
          <cell r="O30">
            <v>0</v>
          </cell>
          <cell r="P30">
            <v>0</v>
          </cell>
        </row>
        <row r="31">
          <cell r="A31" t="str">
            <v>Sanjay Fulzele</v>
          </cell>
          <cell r="B31">
            <v>7</v>
          </cell>
          <cell r="C31" t="str">
            <v>Trade Payables</v>
          </cell>
          <cell r="D31" t="str">
            <v>Trade Payables - Others</v>
          </cell>
          <cell r="E31">
            <v>0</v>
          </cell>
          <cell r="F31">
            <v>0</v>
          </cell>
          <cell r="G31">
            <v>0</v>
          </cell>
          <cell r="H31">
            <v>2600</v>
          </cell>
          <cell r="I31">
            <v>0</v>
          </cell>
          <cell r="J31">
            <v>2600</v>
          </cell>
          <cell r="K31">
            <v>0</v>
          </cell>
          <cell r="L31">
            <v>0</v>
          </cell>
          <cell r="M31">
            <v>0</v>
          </cell>
          <cell r="N31">
            <v>0</v>
          </cell>
          <cell r="O31">
            <v>0</v>
          </cell>
          <cell r="P31">
            <v>0</v>
          </cell>
        </row>
        <row r="32">
          <cell r="A32" t="str">
            <v>SHARP GRAPHICS</v>
          </cell>
          <cell r="B32">
            <v>7</v>
          </cell>
          <cell r="C32" t="str">
            <v>Trade Payables</v>
          </cell>
          <cell r="D32" t="str">
            <v>Trade Payables - Others</v>
          </cell>
          <cell r="E32">
            <v>5552</v>
          </cell>
          <cell r="F32">
            <v>0</v>
          </cell>
          <cell r="G32">
            <v>5552</v>
          </cell>
          <cell r="H32">
            <v>0</v>
          </cell>
          <cell r="I32">
            <v>0</v>
          </cell>
          <cell r="J32">
            <v>0</v>
          </cell>
          <cell r="K32">
            <v>0</v>
          </cell>
          <cell r="L32">
            <v>0</v>
          </cell>
          <cell r="M32">
            <v>0</v>
          </cell>
          <cell r="N32">
            <v>0</v>
          </cell>
          <cell r="O32">
            <v>0</v>
          </cell>
          <cell r="P32">
            <v>0</v>
          </cell>
        </row>
        <row r="33">
          <cell r="A33" t="str">
            <v>ADARSHA PACKAGING PVT. LTD.</v>
          </cell>
          <cell r="B33">
            <v>15</v>
          </cell>
          <cell r="C33" t="str">
            <v>Trade Receivables</v>
          </cell>
          <cell r="D33" t="str">
            <v>Other Debts</v>
          </cell>
          <cell r="E33">
            <v>0</v>
          </cell>
          <cell r="F33">
            <v>0</v>
          </cell>
          <cell r="G33">
            <v>0</v>
          </cell>
          <cell r="H33">
            <v>0</v>
          </cell>
          <cell r="I33">
            <v>0</v>
          </cell>
          <cell r="J33">
            <v>0</v>
          </cell>
          <cell r="K33">
            <v>0</v>
          </cell>
          <cell r="L33">
            <v>0</v>
          </cell>
          <cell r="M33">
            <v>0</v>
          </cell>
          <cell r="N33">
            <v>0</v>
          </cell>
          <cell r="O33">
            <v>0</v>
          </cell>
          <cell r="P33">
            <v>0</v>
          </cell>
        </row>
        <row r="34">
          <cell r="A34" t="str">
            <v>JIGAR TRADING COMPANY</v>
          </cell>
          <cell r="B34">
            <v>15</v>
          </cell>
          <cell r="C34" t="str">
            <v>Trade Receivables</v>
          </cell>
          <cell r="D34" t="str">
            <v>Other Debts</v>
          </cell>
          <cell r="E34">
            <v>1680601</v>
          </cell>
          <cell r="F34">
            <v>0</v>
          </cell>
          <cell r="G34">
            <v>1680601</v>
          </cell>
          <cell r="H34">
            <v>0</v>
          </cell>
          <cell r="I34">
            <v>0</v>
          </cell>
          <cell r="J34">
            <v>0</v>
          </cell>
          <cell r="K34">
            <v>0</v>
          </cell>
          <cell r="L34">
            <v>0</v>
          </cell>
          <cell r="M34">
            <v>0</v>
          </cell>
          <cell r="N34">
            <v>0</v>
          </cell>
          <cell r="O34">
            <v>0</v>
          </cell>
          <cell r="P34">
            <v>0</v>
          </cell>
        </row>
        <row r="35">
          <cell r="A35" t="str">
            <v>UTSAV PAPER PRODUCTS</v>
          </cell>
          <cell r="B35">
            <v>15</v>
          </cell>
          <cell r="C35" t="str">
            <v>Trade Receivables</v>
          </cell>
          <cell r="D35" t="str">
            <v>Other Debts</v>
          </cell>
          <cell r="E35">
            <v>122689</v>
          </cell>
          <cell r="F35">
            <v>0</v>
          </cell>
          <cell r="G35">
            <v>122689</v>
          </cell>
          <cell r="H35">
            <v>0</v>
          </cell>
          <cell r="I35">
            <v>0</v>
          </cell>
          <cell r="J35">
            <v>0</v>
          </cell>
          <cell r="K35">
            <v>0</v>
          </cell>
          <cell r="L35">
            <v>0</v>
          </cell>
          <cell r="M35">
            <v>0</v>
          </cell>
          <cell r="N35">
            <v>0</v>
          </cell>
          <cell r="O35">
            <v>0</v>
          </cell>
          <cell r="P35">
            <v>0</v>
          </cell>
        </row>
        <row r="36">
          <cell r="A36" t="str">
            <v>UNIPACK (SALE)</v>
          </cell>
          <cell r="B36">
            <v>15</v>
          </cell>
          <cell r="C36" t="str">
            <v>Trade Receivables</v>
          </cell>
          <cell r="D36" t="str">
            <v>Other Debts</v>
          </cell>
          <cell r="E36">
            <v>333284</v>
          </cell>
          <cell r="F36">
            <v>0</v>
          </cell>
          <cell r="G36">
            <v>333284</v>
          </cell>
          <cell r="H36">
            <v>0</v>
          </cell>
          <cell r="I36">
            <v>0</v>
          </cell>
          <cell r="J36">
            <v>0</v>
          </cell>
          <cell r="K36">
            <v>0</v>
          </cell>
          <cell r="L36">
            <v>0</v>
          </cell>
          <cell r="M36">
            <v>0</v>
          </cell>
          <cell r="N36">
            <v>0</v>
          </cell>
          <cell r="O36">
            <v>0</v>
          </cell>
          <cell r="P36">
            <v>0</v>
          </cell>
        </row>
        <row r="37">
          <cell r="A37" t="str">
            <v>SHREE INDUSTRIES</v>
          </cell>
          <cell r="B37">
            <v>15</v>
          </cell>
          <cell r="C37" t="str">
            <v>Trade Receivables</v>
          </cell>
          <cell r="D37" t="str">
            <v>Other Debts</v>
          </cell>
          <cell r="E37">
            <v>108452</v>
          </cell>
          <cell r="F37">
            <v>0</v>
          </cell>
          <cell r="G37">
            <v>108452</v>
          </cell>
          <cell r="H37">
            <v>0</v>
          </cell>
          <cell r="I37">
            <v>0</v>
          </cell>
          <cell r="J37">
            <v>0</v>
          </cell>
          <cell r="K37">
            <v>0</v>
          </cell>
          <cell r="L37">
            <v>0</v>
          </cell>
          <cell r="M37">
            <v>0</v>
          </cell>
          <cell r="N37">
            <v>0</v>
          </cell>
          <cell r="O37">
            <v>0</v>
          </cell>
          <cell r="P37">
            <v>0</v>
          </cell>
        </row>
        <row r="38">
          <cell r="A38" t="str">
            <v>ORIENTAL TRADING COMPANY</v>
          </cell>
          <cell r="B38">
            <v>15</v>
          </cell>
          <cell r="C38" t="str">
            <v>Trade Receivables</v>
          </cell>
          <cell r="D38" t="str">
            <v>Other Debts</v>
          </cell>
          <cell r="E38">
            <v>501690</v>
          </cell>
          <cell r="F38">
            <v>0</v>
          </cell>
          <cell r="G38">
            <v>501690</v>
          </cell>
          <cell r="H38">
            <v>0</v>
          </cell>
          <cell r="I38">
            <v>0</v>
          </cell>
          <cell r="J38">
            <v>0</v>
          </cell>
          <cell r="K38">
            <v>0</v>
          </cell>
          <cell r="L38">
            <v>0</v>
          </cell>
          <cell r="M38">
            <v>0</v>
          </cell>
          <cell r="N38">
            <v>0</v>
          </cell>
          <cell r="O38">
            <v>0</v>
          </cell>
          <cell r="P38">
            <v>0</v>
          </cell>
        </row>
        <row r="39">
          <cell r="A39" t="str">
            <v>NINGBO KIN-LINK FRICTION CO. LTD.</v>
          </cell>
          <cell r="B39">
            <v>15</v>
          </cell>
          <cell r="C39" t="str">
            <v>Trade Receivables</v>
          </cell>
          <cell r="D39" t="str">
            <v>Other Debts - Export</v>
          </cell>
          <cell r="E39">
            <v>3355331</v>
          </cell>
          <cell r="F39">
            <v>0</v>
          </cell>
          <cell r="G39">
            <v>3355331</v>
          </cell>
          <cell r="H39">
            <v>0</v>
          </cell>
          <cell r="I39">
            <v>0</v>
          </cell>
          <cell r="J39">
            <v>0</v>
          </cell>
          <cell r="K39">
            <v>0</v>
          </cell>
          <cell r="L39">
            <v>0</v>
          </cell>
          <cell r="M39">
            <v>0</v>
          </cell>
          <cell r="N39">
            <v>0</v>
          </cell>
          <cell r="O39">
            <v>0</v>
          </cell>
          <cell r="P39">
            <v>0</v>
          </cell>
        </row>
        <row r="40">
          <cell r="A40" t="str">
            <v>PRANSHU PAPER PVT. LTD.</v>
          </cell>
          <cell r="B40">
            <v>15</v>
          </cell>
          <cell r="C40" t="str">
            <v>Trade Receivables</v>
          </cell>
          <cell r="D40" t="str">
            <v>Other Debts</v>
          </cell>
          <cell r="E40">
            <v>3013137</v>
          </cell>
          <cell r="F40">
            <v>0</v>
          </cell>
          <cell r="G40">
            <v>3013137</v>
          </cell>
          <cell r="H40">
            <v>0</v>
          </cell>
          <cell r="I40">
            <v>0</v>
          </cell>
          <cell r="J40">
            <v>0</v>
          </cell>
          <cell r="K40">
            <v>0</v>
          </cell>
          <cell r="L40">
            <v>0</v>
          </cell>
          <cell r="M40">
            <v>0</v>
          </cell>
          <cell r="N40">
            <v>0</v>
          </cell>
          <cell r="O40">
            <v>0</v>
          </cell>
          <cell r="P40">
            <v>0</v>
          </cell>
        </row>
        <row r="41">
          <cell r="A41" t="str">
            <v>PR GLOBAL RESOURCES INDIA PRIVATE  LIMITED</v>
          </cell>
          <cell r="B41">
            <v>15</v>
          </cell>
          <cell r="C41" t="str">
            <v>Trade Receivables</v>
          </cell>
          <cell r="D41" t="str">
            <v>Other Debts</v>
          </cell>
          <cell r="E41">
            <v>213763</v>
          </cell>
          <cell r="F41">
            <v>0</v>
          </cell>
          <cell r="G41">
            <v>213763</v>
          </cell>
          <cell r="H41">
            <v>0</v>
          </cell>
          <cell r="I41">
            <v>0</v>
          </cell>
          <cell r="J41">
            <v>0</v>
          </cell>
          <cell r="K41">
            <v>0</v>
          </cell>
          <cell r="L41">
            <v>0</v>
          </cell>
          <cell r="M41">
            <v>0</v>
          </cell>
          <cell r="N41">
            <v>0</v>
          </cell>
          <cell r="O41">
            <v>0</v>
          </cell>
          <cell r="P41">
            <v>0</v>
          </cell>
        </row>
        <row r="42">
          <cell r="A42" t="str">
            <v>SUNDER NAMKEEN</v>
          </cell>
          <cell r="B42">
            <v>15</v>
          </cell>
          <cell r="C42" t="str">
            <v>Trade Receivables</v>
          </cell>
          <cell r="D42" t="str">
            <v>Other Debts</v>
          </cell>
          <cell r="E42">
            <v>213539</v>
          </cell>
          <cell r="F42">
            <v>0</v>
          </cell>
          <cell r="G42">
            <v>213539</v>
          </cell>
          <cell r="H42">
            <v>0</v>
          </cell>
          <cell r="I42">
            <v>0</v>
          </cell>
          <cell r="J42">
            <v>0</v>
          </cell>
          <cell r="K42">
            <v>0</v>
          </cell>
          <cell r="L42">
            <v>0</v>
          </cell>
          <cell r="M42">
            <v>0</v>
          </cell>
          <cell r="N42">
            <v>0</v>
          </cell>
          <cell r="O42">
            <v>0</v>
          </cell>
          <cell r="P42">
            <v>0</v>
          </cell>
        </row>
        <row r="43">
          <cell r="A43" t="str">
            <v>Advance Income Tax (A.Y. 2020-21)</v>
          </cell>
          <cell r="B43">
            <v>12</v>
          </cell>
          <cell r="C43" t="str">
            <v>Long Term Loans &amp; Advances</v>
          </cell>
          <cell r="D43" t="str">
            <v>Advance Income Tax</v>
          </cell>
          <cell r="E43">
            <v>3800000</v>
          </cell>
          <cell r="F43">
            <v>0</v>
          </cell>
          <cell r="G43">
            <v>3800000</v>
          </cell>
          <cell r="H43">
            <v>0</v>
          </cell>
          <cell r="I43">
            <v>0</v>
          </cell>
          <cell r="J43">
            <v>0</v>
          </cell>
          <cell r="K43">
            <v>0</v>
          </cell>
          <cell r="L43">
            <v>0</v>
          </cell>
          <cell r="M43">
            <v>0</v>
          </cell>
          <cell r="N43">
            <v>0</v>
          </cell>
          <cell r="O43">
            <v>0</v>
          </cell>
          <cell r="P43">
            <v>0</v>
          </cell>
        </row>
        <row r="44">
          <cell r="A44" t="str">
            <v>TDS (A. Y. 2020-21)</v>
          </cell>
          <cell r="B44">
            <v>12</v>
          </cell>
          <cell r="C44" t="str">
            <v>Long Term Loans &amp; Advances</v>
          </cell>
          <cell r="D44" t="str">
            <v>Advance Income Tax</v>
          </cell>
          <cell r="E44">
            <v>629</v>
          </cell>
          <cell r="F44">
            <v>0</v>
          </cell>
          <cell r="G44">
            <v>629</v>
          </cell>
          <cell r="H44">
            <v>0</v>
          </cell>
          <cell r="I44">
            <v>0</v>
          </cell>
          <cell r="J44">
            <v>0</v>
          </cell>
          <cell r="K44">
            <v>0</v>
          </cell>
          <cell r="L44">
            <v>0</v>
          </cell>
          <cell r="M44">
            <v>0</v>
          </cell>
          <cell r="N44">
            <v>0</v>
          </cell>
          <cell r="O44">
            <v>0</v>
          </cell>
          <cell r="P44">
            <v>0</v>
          </cell>
        </row>
        <row r="45">
          <cell r="A45" t="str">
            <v>Advance Income Tax (A.Y. 2005-06)</v>
          </cell>
          <cell r="B45">
            <v>12</v>
          </cell>
          <cell r="C45" t="str">
            <v>Long Term Loans &amp; Advances</v>
          </cell>
          <cell r="D45" t="str">
            <v>Advance Income Tax</v>
          </cell>
          <cell r="E45">
            <v>0</v>
          </cell>
          <cell r="F45">
            <v>0</v>
          </cell>
          <cell r="G45">
            <v>0</v>
          </cell>
          <cell r="H45">
            <v>0</v>
          </cell>
          <cell r="I45">
            <v>0</v>
          </cell>
          <cell r="J45">
            <v>0</v>
          </cell>
          <cell r="K45">
            <v>0</v>
          </cell>
          <cell r="L45">
            <v>0</v>
          </cell>
          <cell r="M45">
            <v>0</v>
          </cell>
          <cell r="N45">
            <v>0</v>
          </cell>
          <cell r="O45">
            <v>0</v>
          </cell>
          <cell r="P45">
            <v>0</v>
          </cell>
        </row>
        <row r="46">
          <cell r="A46" t="str">
            <v>Advance Income Tax (A.Y. 2008-09)</v>
          </cell>
          <cell r="B46">
            <v>12</v>
          </cell>
          <cell r="C46" t="str">
            <v>Long Term Loans &amp; Advances</v>
          </cell>
          <cell r="D46" t="str">
            <v>Advance Income Tax</v>
          </cell>
          <cell r="E46">
            <v>0</v>
          </cell>
          <cell r="F46">
            <v>0</v>
          </cell>
          <cell r="G46">
            <v>0</v>
          </cell>
          <cell r="H46">
            <v>0</v>
          </cell>
          <cell r="I46">
            <v>0</v>
          </cell>
          <cell r="J46">
            <v>0</v>
          </cell>
          <cell r="K46">
            <v>0</v>
          </cell>
          <cell r="L46">
            <v>0</v>
          </cell>
          <cell r="M46">
            <v>0</v>
          </cell>
          <cell r="N46">
            <v>0</v>
          </cell>
          <cell r="O46">
            <v>0</v>
          </cell>
          <cell r="P46">
            <v>0</v>
          </cell>
        </row>
        <row r="47">
          <cell r="A47" t="str">
            <v>Advance Income Tax (A.Y. 2019-20)</v>
          </cell>
          <cell r="B47">
            <v>12</v>
          </cell>
          <cell r="C47" t="str">
            <v>Long Term Loans &amp; Advances</v>
          </cell>
          <cell r="D47" t="str">
            <v>Advance Income Tax</v>
          </cell>
          <cell r="E47">
            <v>14636699</v>
          </cell>
          <cell r="F47">
            <v>0</v>
          </cell>
          <cell r="G47">
            <v>14636699</v>
          </cell>
          <cell r="H47">
            <v>0</v>
          </cell>
          <cell r="I47">
            <v>0</v>
          </cell>
          <cell r="J47">
            <v>0</v>
          </cell>
          <cell r="K47">
            <v>12325000</v>
          </cell>
          <cell r="L47">
            <v>0</v>
          </cell>
          <cell r="M47">
            <v>12325000</v>
          </cell>
          <cell r="N47">
            <v>0</v>
          </cell>
          <cell r="O47">
            <v>0</v>
          </cell>
          <cell r="P47">
            <v>0</v>
          </cell>
        </row>
        <row r="48">
          <cell r="A48" t="str">
            <v>Advance Income Tax (A.Y.2013-14)</v>
          </cell>
          <cell r="B48">
            <v>12</v>
          </cell>
          <cell r="C48" t="str">
            <v>Long Term Loans &amp; Advances</v>
          </cell>
          <cell r="D48" t="str">
            <v>Advance Income Tax</v>
          </cell>
          <cell r="E48">
            <v>0</v>
          </cell>
          <cell r="F48">
            <v>0</v>
          </cell>
          <cell r="G48">
            <v>0</v>
          </cell>
          <cell r="H48">
            <v>0</v>
          </cell>
          <cell r="I48">
            <v>0</v>
          </cell>
          <cell r="J48">
            <v>0</v>
          </cell>
          <cell r="K48">
            <v>0</v>
          </cell>
          <cell r="L48">
            <v>0</v>
          </cell>
          <cell r="M48">
            <v>0</v>
          </cell>
          <cell r="N48">
            <v>0</v>
          </cell>
          <cell r="O48">
            <v>0</v>
          </cell>
          <cell r="P48">
            <v>0</v>
          </cell>
        </row>
        <row r="49">
          <cell r="A49" t="str">
            <v>Advance Income Tax (A.Y.2014-15)</v>
          </cell>
          <cell r="B49">
            <v>12</v>
          </cell>
          <cell r="C49" t="str">
            <v>Long Term Loans &amp; Advances</v>
          </cell>
          <cell r="D49" t="str">
            <v>Advance Income Tax</v>
          </cell>
          <cell r="E49">
            <v>0</v>
          </cell>
          <cell r="F49">
            <v>0</v>
          </cell>
          <cell r="G49">
            <v>0</v>
          </cell>
          <cell r="H49">
            <v>0</v>
          </cell>
          <cell r="I49">
            <v>0</v>
          </cell>
          <cell r="J49">
            <v>0</v>
          </cell>
          <cell r="K49">
            <v>0</v>
          </cell>
          <cell r="L49">
            <v>0</v>
          </cell>
          <cell r="M49">
            <v>0</v>
          </cell>
          <cell r="N49">
            <v>0</v>
          </cell>
          <cell r="O49">
            <v>0</v>
          </cell>
          <cell r="P49">
            <v>0</v>
          </cell>
        </row>
        <row r="50">
          <cell r="A50" t="str">
            <v>Advance Income Tax (A.Y.2015-16)</v>
          </cell>
          <cell r="B50">
            <v>12</v>
          </cell>
          <cell r="C50" t="str">
            <v>Long Term Loans &amp; Advances</v>
          </cell>
          <cell r="D50" t="str">
            <v>Advance Income Tax</v>
          </cell>
          <cell r="E50">
            <v>0</v>
          </cell>
          <cell r="F50">
            <v>0</v>
          </cell>
          <cell r="G50">
            <v>0</v>
          </cell>
          <cell r="H50">
            <v>0</v>
          </cell>
          <cell r="I50">
            <v>0</v>
          </cell>
          <cell r="J50">
            <v>0</v>
          </cell>
          <cell r="K50">
            <v>0</v>
          </cell>
          <cell r="L50">
            <v>0</v>
          </cell>
          <cell r="M50">
            <v>0</v>
          </cell>
          <cell r="N50">
            <v>0</v>
          </cell>
          <cell r="O50">
            <v>0</v>
          </cell>
          <cell r="P50">
            <v>0</v>
          </cell>
        </row>
        <row r="51">
          <cell r="A51" t="str">
            <v>Advance Income Tax A.Y. 2018-19</v>
          </cell>
          <cell r="B51">
            <v>12</v>
          </cell>
          <cell r="C51" t="str">
            <v>Long Term Loans &amp; Advances</v>
          </cell>
          <cell r="D51" t="str">
            <v>Advance Income Tax</v>
          </cell>
          <cell r="E51">
            <v>0</v>
          </cell>
          <cell r="F51">
            <v>0</v>
          </cell>
          <cell r="G51">
            <v>0</v>
          </cell>
          <cell r="H51">
            <v>0</v>
          </cell>
          <cell r="I51">
            <v>0</v>
          </cell>
          <cell r="J51">
            <v>0</v>
          </cell>
          <cell r="K51">
            <v>0</v>
          </cell>
          <cell r="L51">
            <v>0</v>
          </cell>
          <cell r="M51">
            <v>0</v>
          </cell>
          <cell r="N51">
            <v>0</v>
          </cell>
          <cell r="O51">
            <v>0</v>
          </cell>
          <cell r="P51">
            <v>0</v>
          </cell>
        </row>
        <row r="52">
          <cell r="A52" t="str">
            <v>Advance ON RATES &amp; TAXES 18-19</v>
          </cell>
          <cell r="B52">
            <v>26</v>
          </cell>
          <cell r="C52" t="str">
            <v>Other Expenses</v>
          </cell>
          <cell r="D52" t="str">
            <v>Establishment Expenses-Rates &amp; Taxes</v>
          </cell>
          <cell r="E52">
            <v>0</v>
          </cell>
          <cell r="F52">
            <v>0</v>
          </cell>
          <cell r="G52">
            <v>0</v>
          </cell>
          <cell r="H52">
            <v>0</v>
          </cell>
          <cell r="I52">
            <v>0</v>
          </cell>
          <cell r="J52">
            <v>0</v>
          </cell>
          <cell r="K52">
            <v>0</v>
          </cell>
          <cell r="L52">
            <v>0</v>
          </cell>
          <cell r="M52">
            <v>0</v>
          </cell>
          <cell r="N52">
            <v>0</v>
          </cell>
          <cell r="O52">
            <v>0</v>
          </cell>
          <cell r="P52">
            <v>0</v>
          </cell>
        </row>
        <row r="53">
          <cell r="A53" t="str">
            <v>TDS Excess Paid</v>
          </cell>
          <cell r="B53">
            <v>26</v>
          </cell>
          <cell r="C53" t="str">
            <v>Other Expenses</v>
          </cell>
          <cell r="D53" t="str">
            <v>Establishment Expenses-Rates &amp; Taxes</v>
          </cell>
          <cell r="E53">
            <v>21</v>
          </cell>
          <cell r="F53">
            <v>0</v>
          </cell>
          <cell r="G53">
            <v>21</v>
          </cell>
          <cell r="H53">
            <v>0</v>
          </cell>
          <cell r="I53">
            <v>0</v>
          </cell>
          <cell r="J53">
            <v>0</v>
          </cell>
          <cell r="K53">
            <v>0</v>
          </cell>
          <cell r="L53">
            <v>0</v>
          </cell>
          <cell r="M53">
            <v>0</v>
          </cell>
          <cell r="N53">
            <v>0</v>
          </cell>
          <cell r="O53">
            <v>0</v>
          </cell>
          <cell r="P53">
            <v>0</v>
          </cell>
        </row>
        <row r="54">
          <cell r="A54" t="str">
            <v>Advertisement Expenses</v>
          </cell>
          <cell r="B54">
            <v>26</v>
          </cell>
          <cell r="C54" t="str">
            <v>Other Expenses</v>
          </cell>
          <cell r="D54" t="str">
            <v>Selling &amp; Dist.-Advertisement Expenses</v>
          </cell>
          <cell r="E54">
            <v>113158</v>
          </cell>
          <cell r="F54">
            <v>0</v>
          </cell>
          <cell r="G54">
            <v>113158</v>
          </cell>
          <cell r="H54">
            <v>0</v>
          </cell>
          <cell r="I54">
            <v>0</v>
          </cell>
          <cell r="J54">
            <v>0</v>
          </cell>
          <cell r="K54">
            <v>77814</v>
          </cell>
          <cell r="L54">
            <v>0</v>
          </cell>
          <cell r="M54">
            <v>77814</v>
          </cell>
          <cell r="N54">
            <v>0</v>
          </cell>
          <cell r="O54">
            <v>0</v>
          </cell>
          <cell r="P54">
            <v>0</v>
          </cell>
        </row>
        <row r="55">
          <cell r="A55" t="str">
            <v>Vat for F. Y. 2015-16</v>
          </cell>
          <cell r="B55">
            <v>26</v>
          </cell>
          <cell r="C55" t="str">
            <v>Other Expenses</v>
          </cell>
          <cell r="D55" t="str">
            <v>Establishment Expenses-Rates &amp; Taxes</v>
          </cell>
          <cell r="E55">
            <v>14674</v>
          </cell>
          <cell r="F55">
            <v>0</v>
          </cell>
          <cell r="G55">
            <v>14674</v>
          </cell>
          <cell r="H55">
            <v>0</v>
          </cell>
          <cell r="I55">
            <v>0</v>
          </cell>
          <cell r="J55">
            <v>0</v>
          </cell>
          <cell r="K55">
            <v>0</v>
          </cell>
          <cell r="L55">
            <v>0</v>
          </cell>
          <cell r="M55">
            <v>0</v>
          </cell>
          <cell r="N55">
            <v>0</v>
          </cell>
          <cell r="O55">
            <v>0</v>
          </cell>
          <cell r="P55">
            <v>0</v>
          </cell>
        </row>
        <row r="56">
          <cell r="A56" t="str">
            <v>Insurance Charges for Marine Export</v>
          </cell>
          <cell r="B56">
            <v>26</v>
          </cell>
          <cell r="C56" t="str">
            <v>Other Expenses</v>
          </cell>
          <cell r="D56" t="str">
            <v>Selling &amp; Dist.-Advertisement Expenses</v>
          </cell>
          <cell r="E56">
            <v>25000</v>
          </cell>
          <cell r="F56">
            <v>0</v>
          </cell>
          <cell r="G56">
            <v>25000</v>
          </cell>
          <cell r="H56">
            <v>0</v>
          </cell>
          <cell r="I56">
            <v>0</v>
          </cell>
          <cell r="J56">
            <v>0</v>
          </cell>
          <cell r="K56">
            <v>0</v>
          </cell>
          <cell r="L56">
            <v>0</v>
          </cell>
          <cell r="M56">
            <v>0</v>
          </cell>
          <cell r="N56">
            <v>0</v>
          </cell>
          <cell r="O56">
            <v>0</v>
          </cell>
          <cell r="P56">
            <v>0</v>
          </cell>
        </row>
        <row r="57">
          <cell r="A57" t="str">
            <v>Agrawal Fasteners</v>
          </cell>
          <cell r="B57">
            <v>7</v>
          </cell>
          <cell r="C57" t="str">
            <v>Trade Payables</v>
          </cell>
          <cell r="D57" t="str">
            <v>Trade Payables</v>
          </cell>
          <cell r="E57">
            <v>0</v>
          </cell>
          <cell r="F57">
            <v>0</v>
          </cell>
          <cell r="G57">
            <v>0</v>
          </cell>
          <cell r="H57">
            <v>0</v>
          </cell>
          <cell r="I57">
            <v>0</v>
          </cell>
          <cell r="J57">
            <v>0</v>
          </cell>
          <cell r="K57">
            <v>0</v>
          </cell>
          <cell r="L57">
            <v>0</v>
          </cell>
          <cell r="M57">
            <v>0</v>
          </cell>
          <cell r="N57">
            <v>0</v>
          </cell>
          <cell r="O57">
            <v>0</v>
          </cell>
          <cell r="P57">
            <v>0</v>
          </cell>
        </row>
        <row r="58">
          <cell r="A58" t="str">
            <v>AHUJA BROTHERS</v>
          </cell>
          <cell r="B58">
            <v>7</v>
          </cell>
          <cell r="C58" t="str">
            <v>Trade Payables</v>
          </cell>
          <cell r="D58" t="str">
            <v>Trade Payables - Others</v>
          </cell>
          <cell r="E58">
            <v>0</v>
          </cell>
          <cell r="F58">
            <v>0</v>
          </cell>
          <cell r="G58">
            <v>0</v>
          </cell>
          <cell r="H58">
            <v>0</v>
          </cell>
          <cell r="I58">
            <v>0</v>
          </cell>
          <cell r="J58">
            <v>0</v>
          </cell>
          <cell r="K58">
            <v>0</v>
          </cell>
          <cell r="L58">
            <v>0</v>
          </cell>
          <cell r="M58">
            <v>0</v>
          </cell>
          <cell r="N58">
            <v>0</v>
          </cell>
          <cell r="O58">
            <v>0</v>
          </cell>
          <cell r="P58">
            <v>0</v>
          </cell>
        </row>
        <row r="59">
          <cell r="A59" t="str">
            <v>AJANTA KRAFT</v>
          </cell>
          <cell r="B59">
            <v>15</v>
          </cell>
          <cell r="C59" t="str">
            <v>Trade Receivables</v>
          </cell>
          <cell r="D59" t="str">
            <v>Other Debts</v>
          </cell>
          <cell r="E59">
            <v>1426108</v>
          </cell>
          <cell r="F59">
            <v>0</v>
          </cell>
          <cell r="G59">
            <v>1426108</v>
          </cell>
          <cell r="H59">
            <v>0</v>
          </cell>
          <cell r="I59">
            <v>0</v>
          </cell>
          <cell r="J59">
            <v>0</v>
          </cell>
          <cell r="K59">
            <v>0</v>
          </cell>
          <cell r="L59">
            <v>0</v>
          </cell>
          <cell r="M59">
            <v>0</v>
          </cell>
          <cell r="N59">
            <v>0</v>
          </cell>
          <cell r="O59">
            <v>0</v>
          </cell>
          <cell r="P59">
            <v>0</v>
          </cell>
        </row>
        <row r="60">
          <cell r="A60" t="str">
            <v>COSMIC CORPORATION</v>
          </cell>
          <cell r="B60">
            <v>15</v>
          </cell>
          <cell r="C60" t="str">
            <v>Trade Receivables</v>
          </cell>
          <cell r="D60" t="str">
            <v>Other Debts</v>
          </cell>
          <cell r="E60">
            <v>2786944</v>
          </cell>
          <cell r="F60">
            <v>0</v>
          </cell>
          <cell r="G60">
            <v>2786944</v>
          </cell>
          <cell r="H60">
            <v>0</v>
          </cell>
          <cell r="I60">
            <v>0</v>
          </cell>
          <cell r="J60">
            <v>0</v>
          </cell>
          <cell r="K60">
            <v>0</v>
          </cell>
          <cell r="L60">
            <v>0</v>
          </cell>
          <cell r="M60">
            <v>0</v>
          </cell>
          <cell r="N60">
            <v>0</v>
          </cell>
          <cell r="O60">
            <v>0</v>
          </cell>
          <cell r="P60">
            <v>0</v>
          </cell>
        </row>
        <row r="61">
          <cell r="A61" t="str">
            <v>DEV CHEMICAL</v>
          </cell>
          <cell r="B61">
            <v>15</v>
          </cell>
          <cell r="C61" t="str">
            <v>Trade Receivables</v>
          </cell>
          <cell r="D61" t="str">
            <v>Other Debts</v>
          </cell>
          <cell r="E61">
            <v>0</v>
          </cell>
          <cell r="F61">
            <v>0</v>
          </cell>
          <cell r="G61">
            <v>0</v>
          </cell>
          <cell r="H61">
            <v>10037</v>
          </cell>
          <cell r="I61">
            <v>0</v>
          </cell>
          <cell r="J61">
            <v>10037</v>
          </cell>
          <cell r="K61">
            <v>0</v>
          </cell>
          <cell r="L61">
            <v>0</v>
          </cell>
          <cell r="M61">
            <v>0</v>
          </cell>
          <cell r="N61">
            <v>0</v>
          </cell>
          <cell r="O61">
            <v>0</v>
          </cell>
          <cell r="P61">
            <v>0</v>
          </cell>
        </row>
        <row r="62">
          <cell r="A62" t="str">
            <v>Align Components (P) Ltd.,</v>
          </cell>
          <cell r="B62">
            <v>15</v>
          </cell>
          <cell r="C62" t="str">
            <v>Trade Receivables</v>
          </cell>
          <cell r="D62" t="str">
            <v>Other Debts</v>
          </cell>
          <cell r="E62">
            <v>1152502</v>
          </cell>
          <cell r="F62">
            <v>0</v>
          </cell>
          <cell r="G62">
            <v>1152502</v>
          </cell>
          <cell r="H62">
            <v>0</v>
          </cell>
          <cell r="I62">
            <v>0</v>
          </cell>
          <cell r="J62">
            <v>0</v>
          </cell>
          <cell r="K62">
            <v>2429585</v>
          </cell>
          <cell r="L62">
            <v>0</v>
          </cell>
          <cell r="M62">
            <v>2429585</v>
          </cell>
          <cell r="N62">
            <v>0</v>
          </cell>
          <cell r="O62">
            <v>0</v>
          </cell>
          <cell r="P62">
            <v>0</v>
          </cell>
        </row>
        <row r="63">
          <cell r="A63" t="str">
            <v>ALIGN COMPONENTS (P) LTD., (BU-II)</v>
          </cell>
          <cell r="B63">
            <v>15</v>
          </cell>
          <cell r="C63" t="str">
            <v>Trade Receivables</v>
          </cell>
          <cell r="D63" t="str">
            <v>Other Debts</v>
          </cell>
          <cell r="E63">
            <v>3898375</v>
          </cell>
          <cell r="F63">
            <v>0</v>
          </cell>
          <cell r="G63">
            <v>3898375</v>
          </cell>
          <cell r="H63">
            <v>0</v>
          </cell>
          <cell r="I63">
            <v>0</v>
          </cell>
          <cell r="J63">
            <v>0</v>
          </cell>
          <cell r="K63">
            <v>2907317</v>
          </cell>
          <cell r="L63">
            <v>0</v>
          </cell>
          <cell r="M63">
            <v>2907317</v>
          </cell>
          <cell r="N63">
            <v>0</v>
          </cell>
          <cell r="O63">
            <v>0</v>
          </cell>
          <cell r="P63">
            <v>0</v>
          </cell>
        </row>
        <row r="64">
          <cell r="A64" t="str">
            <v>ALLIANCE INTERNATIONAL DWC-LLC</v>
          </cell>
          <cell r="B64">
            <v>17</v>
          </cell>
          <cell r="C64" t="str">
            <v>Short Term Loans &amp; Advances</v>
          </cell>
          <cell r="D64" t="str">
            <v>Advance to Suppliers</v>
          </cell>
          <cell r="E64">
            <v>0</v>
          </cell>
          <cell r="F64">
            <v>0</v>
          </cell>
          <cell r="G64">
            <v>0</v>
          </cell>
          <cell r="H64">
            <v>0</v>
          </cell>
          <cell r="I64">
            <v>0</v>
          </cell>
          <cell r="J64">
            <v>0</v>
          </cell>
          <cell r="K64">
            <v>278760</v>
          </cell>
          <cell r="L64">
            <v>0</v>
          </cell>
          <cell r="M64">
            <v>278760</v>
          </cell>
          <cell r="N64">
            <v>0</v>
          </cell>
          <cell r="O64">
            <v>0</v>
          </cell>
          <cell r="P64">
            <v>0</v>
          </cell>
        </row>
        <row r="65">
          <cell r="A65" t="str">
            <v>ALLWIN PACKAGING PVT. LTD. (YASH)</v>
          </cell>
          <cell r="B65">
            <v>15</v>
          </cell>
          <cell r="C65" t="str">
            <v>Trade Receivables</v>
          </cell>
          <cell r="D65" t="str">
            <v>Other Debts</v>
          </cell>
          <cell r="E65">
            <v>0</v>
          </cell>
          <cell r="F65">
            <v>0</v>
          </cell>
          <cell r="G65">
            <v>0</v>
          </cell>
          <cell r="H65">
            <v>0</v>
          </cell>
          <cell r="I65">
            <v>0</v>
          </cell>
          <cell r="J65">
            <v>0</v>
          </cell>
          <cell r="K65">
            <v>0</v>
          </cell>
          <cell r="L65">
            <v>0</v>
          </cell>
          <cell r="M65">
            <v>0</v>
          </cell>
          <cell r="N65">
            <v>0</v>
          </cell>
          <cell r="O65">
            <v>0</v>
          </cell>
          <cell r="P65">
            <v>0</v>
          </cell>
        </row>
        <row r="66">
          <cell r="A66" t="str">
            <v>Ambuja Cements Ltd.</v>
          </cell>
          <cell r="B66">
            <v>7</v>
          </cell>
          <cell r="C66" t="str">
            <v>Trade Payables</v>
          </cell>
          <cell r="D66" t="str">
            <v>Trade Payables</v>
          </cell>
          <cell r="E66">
            <v>0</v>
          </cell>
          <cell r="F66">
            <v>0</v>
          </cell>
          <cell r="G66">
            <v>0</v>
          </cell>
          <cell r="H66">
            <v>54318</v>
          </cell>
          <cell r="I66">
            <v>0</v>
          </cell>
          <cell r="J66">
            <v>54318</v>
          </cell>
          <cell r="K66">
            <v>0</v>
          </cell>
          <cell r="L66">
            <v>0</v>
          </cell>
          <cell r="M66">
            <v>0</v>
          </cell>
          <cell r="N66">
            <v>28955</v>
          </cell>
          <cell r="O66">
            <v>0</v>
          </cell>
          <cell r="P66">
            <v>28955</v>
          </cell>
        </row>
        <row r="67">
          <cell r="A67" t="str">
            <v>Amruta Enterprises, Nagpur</v>
          </cell>
          <cell r="B67">
            <v>7</v>
          </cell>
          <cell r="C67" t="str">
            <v>Trade Payables</v>
          </cell>
          <cell r="D67" t="str">
            <v>Trade Payables</v>
          </cell>
          <cell r="E67">
            <v>0</v>
          </cell>
          <cell r="F67">
            <v>0</v>
          </cell>
          <cell r="G67">
            <v>0</v>
          </cell>
          <cell r="H67">
            <v>136776</v>
          </cell>
          <cell r="I67">
            <v>0</v>
          </cell>
          <cell r="J67">
            <v>136776</v>
          </cell>
          <cell r="K67">
            <v>0</v>
          </cell>
          <cell r="L67">
            <v>0</v>
          </cell>
          <cell r="M67">
            <v>0</v>
          </cell>
          <cell r="N67">
            <v>68388</v>
          </cell>
          <cell r="O67">
            <v>0</v>
          </cell>
          <cell r="P67">
            <v>68388</v>
          </cell>
        </row>
        <row r="68">
          <cell r="A68" t="str">
            <v>CIPARO B.V.</v>
          </cell>
          <cell r="B68">
            <v>7</v>
          </cell>
          <cell r="C68" t="str">
            <v>Trade Payables</v>
          </cell>
          <cell r="D68" t="str">
            <v>Trade Payables</v>
          </cell>
          <cell r="E68">
            <v>780445</v>
          </cell>
          <cell r="F68">
            <v>0</v>
          </cell>
          <cell r="G68">
            <v>780445</v>
          </cell>
          <cell r="H68">
            <v>0</v>
          </cell>
          <cell r="I68">
            <v>0</v>
          </cell>
          <cell r="J68">
            <v>0</v>
          </cell>
          <cell r="K68">
            <v>0</v>
          </cell>
          <cell r="L68">
            <v>0</v>
          </cell>
          <cell r="M68">
            <v>0</v>
          </cell>
          <cell r="N68">
            <v>2404941</v>
          </cell>
          <cell r="O68">
            <v>0</v>
          </cell>
          <cell r="P68">
            <v>2404941</v>
          </cell>
        </row>
        <row r="69">
          <cell r="A69" t="str">
            <v>ANAMIKA TRADERS</v>
          </cell>
          <cell r="B69">
            <v>7</v>
          </cell>
          <cell r="C69" t="str">
            <v>Trade Payables</v>
          </cell>
          <cell r="D69" t="str">
            <v>Trade Payables - Others</v>
          </cell>
          <cell r="E69">
            <v>0</v>
          </cell>
          <cell r="F69">
            <v>0</v>
          </cell>
          <cell r="G69">
            <v>0</v>
          </cell>
          <cell r="H69">
            <v>222332</v>
          </cell>
          <cell r="I69">
            <v>0</v>
          </cell>
          <cell r="J69">
            <v>222332</v>
          </cell>
          <cell r="K69">
            <v>0</v>
          </cell>
          <cell r="L69">
            <v>0</v>
          </cell>
          <cell r="M69">
            <v>0</v>
          </cell>
          <cell r="N69">
            <v>0</v>
          </cell>
          <cell r="O69">
            <v>0</v>
          </cell>
          <cell r="P69">
            <v>0</v>
          </cell>
        </row>
        <row r="70">
          <cell r="A70" t="str">
            <v>Anilkumar M. Lakhotiya (Loan A/C)</v>
          </cell>
          <cell r="B70">
            <v>4</v>
          </cell>
          <cell r="C70" t="str">
            <v>Long Term Borrowings</v>
          </cell>
          <cell r="D70" t="str">
            <v>Unsecured-From Related Party</v>
          </cell>
          <cell r="E70">
            <v>0</v>
          </cell>
          <cell r="F70">
            <v>0</v>
          </cell>
          <cell r="G70">
            <v>0</v>
          </cell>
          <cell r="H70">
            <v>2186694</v>
          </cell>
          <cell r="I70">
            <v>0</v>
          </cell>
          <cell r="J70">
            <v>2186694</v>
          </cell>
          <cell r="K70">
            <v>0</v>
          </cell>
          <cell r="L70">
            <v>0</v>
          </cell>
          <cell r="M70">
            <v>0</v>
          </cell>
          <cell r="N70">
            <v>2000000</v>
          </cell>
          <cell r="O70">
            <v>0</v>
          </cell>
          <cell r="P70">
            <v>2000000</v>
          </cell>
        </row>
        <row r="71">
          <cell r="A71" t="str">
            <v>ANISH INDUSTRIES</v>
          </cell>
          <cell r="B71">
            <v>7</v>
          </cell>
          <cell r="C71" t="str">
            <v>Trade Payables</v>
          </cell>
          <cell r="D71" t="str">
            <v>Trade Payables - Others</v>
          </cell>
          <cell r="E71">
            <v>0</v>
          </cell>
          <cell r="F71">
            <v>0</v>
          </cell>
          <cell r="G71">
            <v>0</v>
          </cell>
          <cell r="H71">
            <v>0</v>
          </cell>
          <cell r="I71">
            <v>0</v>
          </cell>
          <cell r="J71">
            <v>0</v>
          </cell>
          <cell r="K71">
            <v>0</v>
          </cell>
          <cell r="L71">
            <v>0</v>
          </cell>
          <cell r="M71">
            <v>0</v>
          </cell>
          <cell r="N71">
            <v>2291</v>
          </cell>
          <cell r="O71">
            <v>0</v>
          </cell>
          <cell r="P71">
            <v>2291</v>
          </cell>
        </row>
        <row r="72">
          <cell r="A72" t="str">
            <v>Anita Lakhotiya</v>
          </cell>
          <cell r="B72">
            <v>4</v>
          </cell>
          <cell r="C72" t="str">
            <v>Long Term Borrowings</v>
          </cell>
          <cell r="D72" t="str">
            <v>Unsecured-From Related Party</v>
          </cell>
          <cell r="E72">
            <v>0</v>
          </cell>
          <cell r="F72">
            <v>0</v>
          </cell>
          <cell r="G72">
            <v>0</v>
          </cell>
          <cell r="H72">
            <v>874676</v>
          </cell>
          <cell r="I72">
            <v>0</v>
          </cell>
          <cell r="J72">
            <v>874676</v>
          </cell>
          <cell r="K72">
            <v>0</v>
          </cell>
          <cell r="L72">
            <v>0</v>
          </cell>
          <cell r="M72">
            <v>0</v>
          </cell>
          <cell r="N72">
            <v>800000</v>
          </cell>
          <cell r="O72">
            <v>0</v>
          </cell>
          <cell r="P72">
            <v>800000</v>
          </cell>
        </row>
        <row r="73">
          <cell r="A73" t="str">
            <v>Ankur Seeds Pvt. Ltd., Nagpur</v>
          </cell>
          <cell r="B73">
            <v>7</v>
          </cell>
          <cell r="C73" t="str">
            <v>Trade Payables</v>
          </cell>
          <cell r="D73" t="str">
            <v>Trade Payables</v>
          </cell>
          <cell r="E73">
            <v>0</v>
          </cell>
          <cell r="F73">
            <v>0</v>
          </cell>
          <cell r="G73">
            <v>0</v>
          </cell>
          <cell r="H73">
            <v>30012</v>
          </cell>
          <cell r="I73">
            <v>0</v>
          </cell>
          <cell r="J73">
            <v>30012</v>
          </cell>
          <cell r="K73">
            <v>0</v>
          </cell>
          <cell r="L73">
            <v>0</v>
          </cell>
          <cell r="M73">
            <v>0</v>
          </cell>
          <cell r="N73">
            <v>0</v>
          </cell>
          <cell r="O73">
            <v>0</v>
          </cell>
          <cell r="P73">
            <v>0</v>
          </cell>
        </row>
        <row r="74">
          <cell r="A74" t="str">
            <v>Annual Custody Fees</v>
          </cell>
          <cell r="B74">
            <v>26</v>
          </cell>
          <cell r="C74" t="str">
            <v>Other Expenses</v>
          </cell>
          <cell r="D74" t="str">
            <v>Establishment Expenses-General Expenses</v>
          </cell>
          <cell r="E74">
            <v>9000</v>
          </cell>
          <cell r="F74">
            <v>0</v>
          </cell>
          <cell r="G74">
            <v>9000</v>
          </cell>
          <cell r="H74">
            <v>0</v>
          </cell>
          <cell r="I74">
            <v>0</v>
          </cell>
          <cell r="J74">
            <v>0</v>
          </cell>
          <cell r="K74">
            <v>9000</v>
          </cell>
          <cell r="L74">
            <v>0</v>
          </cell>
          <cell r="M74">
            <v>9000</v>
          </cell>
          <cell r="N74">
            <v>0</v>
          </cell>
          <cell r="O74">
            <v>0</v>
          </cell>
          <cell r="P74">
            <v>0</v>
          </cell>
        </row>
        <row r="75">
          <cell r="A75" t="str">
            <v>Directors Sitting Fees</v>
          </cell>
          <cell r="B75">
            <v>24</v>
          </cell>
          <cell r="C75" t="str">
            <v>Employee Benefit Expenses</v>
          </cell>
          <cell r="D75" t="str">
            <v>Salary &amp; Wages</v>
          </cell>
          <cell r="E75">
            <v>15000</v>
          </cell>
          <cell r="F75">
            <v>0</v>
          </cell>
          <cell r="G75">
            <v>15000</v>
          </cell>
          <cell r="H75">
            <v>0</v>
          </cell>
          <cell r="I75">
            <v>0</v>
          </cell>
          <cell r="J75">
            <v>0</v>
          </cell>
          <cell r="K75">
            <v>0</v>
          </cell>
          <cell r="L75">
            <v>0</v>
          </cell>
          <cell r="M75">
            <v>0</v>
          </cell>
          <cell r="N75">
            <v>0</v>
          </cell>
          <cell r="O75">
            <v>0</v>
          </cell>
          <cell r="P75">
            <v>0</v>
          </cell>
        </row>
        <row r="76">
          <cell r="A76" t="str">
            <v>GST Annual Filing Chgs. FY 17-18</v>
          </cell>
          <cell r="B76">
            <v>26</v>
          </cell>
          <cell r="C76" t="str">
            <v>Other Expenses</v>
          </cell>
          <cell r="D76" t="str">
            <v>Establishment Expenses-General Expenses</v>
          </cell>
          <cell r="E76">
            <v>25123</v>
          </cell>
          <cell r="F76">
            <v>0</v>
          </cell>
          <cell r="G76">
            <v>25123</v>
          </cell>
          <cell r="H76">
            <v>0</v>
          </cell>
          <cell r="I76">
            <v>0</v>
          </cell>
          <cell r="J76">
            <v>0</v>
          </cell>
          <cell r="K76">
            <v>0</v>
          </cell>
          <cell r="L76">
            <v>0</v>
          </cell>
          <cell r="M76">
            <v>0</v>
          </cell>
          <cell r="N76">
            <v>0</v>
          </cell>
          <cell r="O76">
            <v>0</v>
          </cell>
          <cell r="P76">
            <v>0</v>
          </cell>
        </row>
        <row r="77">
          <cell r="A77" t="str">
            <v>GST E-Return Charges</v>
          </cell>
          <cell r="B77">
            <v>26</v>
          </cell>
          <cell r="C77" t="str">
            <v>Other Expenses</v>
          </cell>
          <cell r="D77" t="str">
            <v>Establishment Expenses-General Expenses</v>
          </cell>
          <cell r="E77">
            <v>36000</v>
          </cell>
          <cell r="F77">
            <v>0</v>
          </cell>
          <cell r="G77">
            <v>36000</v>
          </cell>
          <cell r="H77">
            <v>0</v>
          </cell>
          <cell r="I77">
            <v>0</v>
          </cell>
          <cell r="J77">
            <v>0</v>
          </cell>
          <cell r="K77">
            <v>0</v>
          </cell>
          <cell r="L77">
            <v>0</v>
          </cell>
          <cell r="M77">
            <v>0</v>
          </cell>
          <cell r="N77">
            <v>0</v>
          </cell>
          <cell r="O77">
            <v>0</v>
          </cell>
          <cell r="P77">
            <v>0</v>
          </cell>
        </row>
        <row r="78">
          <cell r="A78" t="str">
            <v>Other Charges : Chemical (NON-GST)</v>
          </cell>
          <cell r="B78">
            <v>22</v>
          </cell>
          <cell r="C78" t="str">
            <v>Raw Material Consumed</v>
          </cell>
          <cell r="D78" t="str">
            <v>Raw Material Purchase</v>
          </cell>
          <cell r="E78">
            <v>2080</v>
          </cell>
          <cell r="F78">
            <v>0</v>
          </cell>
          <cell r="G78">
            <v>2080</v>
          </cell>
          <cell r="H78">
            <v>0</v>
          </cell>
          <cell r="I78">
            <v>0</v>
          </cell>
          <cell r="J78">
            <v>0</v>
          </cell>
          <cell r="K78">
            <v>0</v>
          </cell>
          <cell r="L78">
            <v>0</v>
          </cell>
          <cell r="M78">
            <v>0</v>
          </cell>
          <cell r="N78">
            <v>0</v>
          </cell>
          <cell r="O78">
            <v>0</v>
          </cell>
          <cell r="P78">
            <v>0</v>
          </cell>
        </row>
        <row r="79">
          <cell r="A79" t="str">
            <v>Other Charges : Packing (Non-GST)</v>
          </cell>
          <cell r="B79">
            <v>26</v>
          </cell>
          <cell r="C79" t="str">
            <v>Other Expenses</v>
          </cell>
          <cell r="D79" t="str">
            <v>Manufacturing Expenses - Packing Material Consumed</v>
          </cell>
          <cell r="E79">
            <v>500</v>
          </cell>
          <cell r="F79">
            <v>0</v>
          </cell>
          <cell r="G79">
            <v>500</v>
          </cell>
          <cell r="H79">
            <v>0</v>
          </cell>
          <cell r="I79">
            <v>0</v>
          </cell>
          <cell r="J79">
            <v>0</v>
          </cell>
          <cell r="K79">
            <v>0</v>
          </cell>
          <cell r="L79">
            <v>0</v>
          </cell>
          <cell r="M79">
            <v>0</v>
          </cell>
          <cell r="N79">
            <v>0</v>
          </cell>
          <cell r="O79">
            <v>0</v>
          </cell>
          <cell r="P79">
            <v>0</v>
          </cell>
        </row>
        <row r="80">
          <cell r="A80" t="str">
            <v>Other Professional Fees (Darak)</v>
          </cell>
          <cell r="B80">
            <v>26</v>
          </cell>
          <cell r="C80" t="str">
            <v>Other Expenses</v>
          </cell>
          <cell r="D80" t="str">
            <v>Establishment Expenses-General Expenses</v>
          </cell>
          <cell r="E80">
            <v>20000</v>
          </cell>
          <cell r="F80">
            <v>0</v>
          </cell>
          <cell r="G80">
            <v>20000</v>
          </cell>
          <cell r="H80">
            <v>0</v>
          </cell>
          <cell r="I80">
            <v>0</v>
          </cell>
          <cell r="J80">
            <v>0</v>
          </cell>
          <cell r="K80">
            <v>0</v>
          </cell>
          <cell r="L80">
            <v>0</v>
          </cell>
          <cell r="M80">
            <v>0</v>
          </cell>
          <cell r="N80">
            <v>0</v>
          </cell>
          <cell r="O80">
            <v>0</v>
          </cell>
          <cell r="P80">
            <v>0</v>
          </cell>
        </row>
        <row r="81">
          <cell r="A81" t="str">
            <v>Site Development Expenses</v>
          </cell>
          <cell r="B81">
            <v>26</v>
          </cell>
          <cell r="C81" t="str">
            <v>Other Expenses</v>
          </cell>
          <cell r="D81" t="str">
            <v>Establishment Expenses-General Expenses</v>
          </cell>
          <cell r="E81">
            <v>374511.51</v>
          </cell>
          <cell r="F81">
            <v>0</v>
          </cell>
          <cell r="G81">
            <v>374511.51</v>
          </cell>
          <cell r="H81">
            <v>0</v>
          </cell>
          <cell r="I81">
            <v>0</v>
          </cell>
          <cell r="J81">
            <v>0</v>
          </cell>
          <cell r="K81">
            <v>0</v>
          </cell>
          <cell r="L81">
            <v>0</v>
          </cell>
          <cell r="M81">
            <v>0</v>
          </cell>
          <cell r="N81">
            <v>0</v>
          </cell>
          <cell r="O81">
            <v>0</v>
          </cell>
          <cell r="P81">
            <v>0</v>
          </cell>
        </row>
        <row r="82">
          <cell r="A82" t="str">
            <v>Annual Listing Fees</v>
          </cell>
          <cell r="B82">
            <v>26</v>
          </cell>
          <cell r="C82" t="str">
            <v>Other Expenses</v>
          </cell>
          <cell r="D82" t="str">
            <v>Establishment Expenses-Listing Expense</v>
          </cell>
          <cell r="E82">
            <v>64000</v>
          </cell>
          <cell r="F82">
            <v>0</v>
          </cell>
          <cell r="G82">
            <v>64000</v>
          </cell>
          <cell r="H82">
            <v>0</v>
          </cell>
          <cell r="I82">
            <v>0</v>
          </cell>
          <cell r="J82">
            <v>0</v>
          </cell>
          <cell r="K82">
            <v>64000</v>
          </cell>
          <cell r="L82">
            <v>0</v>
          </cell>
          <cell r="M82">
            <v>64000</v>
          </cell>
          <cell r="N82">
            <v>0</v>
          </cell>
          <cell r="O82">
            <v>0</v>
          </cell>
          <cell r="P82">
            <v>0</v>
          </cell>
        </row>
        <row r="83">
          <cell r="A83" t="str">
            <v>Anurag Steel</v>
          </cell>
          <cell r="B83">
            <v>8</v>
          </cell>
          <cell r="C83" t="str">
            <v>Other Current Liabilities</v>
          </cell>
          <cell r="D83" t="str">
            <v>Trade Payables for capital goods</v>
          </cell>
          <cell r="E83">
            <v>0</v>
          </cell>
          <cell r="F83">
            <v>0</v>
          </cell>
          <cell r="G83">
            <v>0</v>
          </cell>
          <cell r="H83">
            <v>0</v>
          </cell>
          <cell r="I83">
            <v>0</v>
          </cell>
          <cell r="J83">
            <v>0</v>
          </cell>
          <cell r="K83">
            <v>0</v>
          </cell>
          <cell r="L83">
            <v>0</v>
          </cell>
          <cell r="M83">
            <v>0</v>
          </cell>
          <cell r="N83">
            <v>193064</v>
          </cell>
          <cell r="O83">
            <v>0</v>
          </cell>
          <cell r="P83">
            <v>193064</v>
          </cell>
        </row>
        <row r="84">
          <cell r="A84" t="str">
            <v>Drashta Power Consultants Pvt. Ltd.</v>
          </cell>
          <cell r="B84">
            <v>8</v>
          </cell>
          <cell r="C84" t="str">
            <v>Other Current Liabilities</v>
          </cell>
          <cell r="D84" t="str">
            <v>Trade Payables for capital goods</v>
          </cell>
          <cell r="E84">
            <v>18000</v>
          </cell>
          <cell r="F84">
            <v>0</v>
          </cell>
          <cell r="G84">
            <v>18000</v>
          </cell>
          <cell r="H84">
            <v>0</v>
          </cell>
          <cell r="I84">
            <v>0</v>
          </cell>
          <cell r="J84">
            <v>0</v>
          </cell>
          <cell r="K84">
            <v>0</v>
          </cell>
          <cell r="L84">
            <v>0</v>
          </cell>
          <cell r="M84">
            <v>0</v>
          </cell>
          <cell r="N84">
            <v>0</v>
          </cell>
          <cell r="O84">
            <v>0</v>
          </cell>
          <cell r="P84">
            <v>0</v>
          </cell>
        </row>
        <row r="85">
          <cell r="A85" t="str">
            <v>Arco Roadlines</v>
          </cell>
          <cell r="B85">
            <v>7</v>
          </cell>
          <cell r="C85" t="str">
            <v>Trade Payables</v>
          </cell>
          <cell r="D85" t="str">
            <v>Trade Payables</v>
          </cell>
          <cell r="E85">
            <v>0</v>
          </cell>
          <cell r="F85">
            <v>0</v>
          </cell>
          <cell r="G85">
            <v>0</v>
          </cell>
          <cell r="H85">
            <v>0</v>
          </cell>
          <cell r="I85">
            <v>0</v>
          </cell>
          <cell r="J85">
            <v>0</v>
          </cell>
          <cell r="K85">
            <v>0</v>
          </cell>
          <cell r="L85">
            <v>0</v>
          </cell>
          <cell r="M85">
            <v>0</v>
          </cell>
          <cell r="N85">
            <v>0</v>
          </cell>
          <cell r="O85">
            <v>0</v>
          </cell>
          <cell r="P85">
            <v>0</v>
          </cell>
        </row>
        <row r="86">
          <cell r="A86" t="str">
            <v>ARIHANT ENTERPRISES</v>
          </cell>
          <cell r="B86">
            <v>15</v>
          </cell>
          <cell r="C86" t="str">
            <v>Trade Receivables</v>
          </cell>
          <cell r="D86" t="str">
            <v>Other Debts</v>
          </cell>
          <cell r="E86">
            <v>0</v>
          </cell>
          <cell r="F86">
            <v>0</v>
          </cell>
          <cell r="G86">
            <v>0</v>
          </cell>
          <cell r="H86">
            <v>0</v>
          </cell>
          <cell r="I86">
            <v>0</v>
          </cell>
          <cell r="J86">
            <v>0</v>
          </cell>
          <cell r="K86">
            <v>283582</v>
          </cell>
          <cell r="L86">
            <v>0</v>
          </cell>
          <cell r="M86">
            <v>283582</v>
          </cell>
          <cell r="N86">
            <v>0</v>
          </cell>
          <cell r="O86">
            <v>0</v>
          </cell>
          <cell r="P86">
            <v>0</v>
          </cell>
        </row>
        <row r="87">
          <cell r="A87" t="str">
            <v>ARIHANT ENTERPRISES (KEDAR)</v>
          </cell>
          <cell r="B87">
            <v>15</v>
          </cell>
          <cell r="C87" t="str">
            <v>Trade Receivables</v>
          </cell>
          <cell r="D87" t="str">
            <v>Other Debts</v>
          </cell>
          <cell r="E87">
            <v>0</v>
          </cell>
          <cell r="F87">
            <v>0</v>
          </cell>
          <cell r="G87">
            <v>0</v>
          </cell>
          <cell r="H87">
            <v>0</v>
          </cell>
          <cell r="I87">
            <v>0</v>
          </cell>
          <cell r="J87">
            <v>0</v>
          </cell>
          <cell r="K87">
            <v>245459</v>
          </cell>
          <cell r="L87">
            <v>0</v>
          </cell>
          <cell r="M87">
            <v>245459</v>
          </cell>
          <cell r="N87">
            <v>0</v>
          </cell>
          <cell r="O87">
            <v>0</v>
          </cell>
          <cell r="P87">
            <v>0</v>
          </cell>
        </row>
        <row r="88">
          <cell r="A88" t="str">
            <v>Arkil Chem P. Ltd.</v>
          </cell>
          <cell r="B88">
            <v>7</v>
          </cell>
          <cell r="C88" t="str">
            <v>Trade Payables</v>
          </cell>
          <cell r="D88" t="str">
            <v>Trade Payables</v>
          </cell>
          <cell r="E88">
            <v>0</v>
          </cell>
          <cell r="F88">
            <v>0</v>
          </cell>
          <cell r="G88">
            <v>0</v>
          </cell>
          <cell r="H88">
            <v>0</v>
          </cell>
          <cell r="I88">
            <v>0</v>
          </cell>
          <cell r="J88">
            <v>0</v>
          </cell>
          <cell r="K88">
            <v>0</v>
          </cell>
          <cell r="L88">
            <v>0</v>
          </cell>
          <cell r="M88">
            <v>0</v>
          </cell>
          <cell r="N88">
            <v>48876.25</v>
          </cell>
          <cell r="O88">
            <v>0</v>
          </cell>
          <cell r="P88">
            <v>48876.25</v>
          </cell>
        </row>
        <row r="89">
          <cell r="A89" t="str">
            <v>Atul V. Hurkat &amp; Company</v>
          </cell>
          <cell r="B89">
            <v>7</v>
          </cell>
          <cell r="C89" t="str">
            <v>Trade Payables</v>
          </cell>
          <cell r="D89" t="str">
            <v>Trade Payables</v>
          </cell>
          <cell r="E89">
            <v>0</v>
          </cell>
          <cell r="F89">
            <v>0</v>
          </cell>
          <cell r="G89">
            <v>0</v>
          </cell>
          <cell r="H89">
            <v>0</v>
          </cell>
          <cell r="I89">
            <v>0</v>
          </cell>
          <cell r="J89">
            <v>0</v>
          </cell>
          <cell r="K89">
            <v>0</v>
          </cell>
          <cell r="L89">
            <v>0</v>
          </cell>
          <cell r="M89">
            <v>0</v>
          </cell>
          <cell r="N89">
            <v>0</v>
          </cell>
          <cell r="O89">
            <v>0</v>
          </cell>
          <cell r="P89">
            <v>0</v>
          </cell>
        </row>
        <row r="90">
          <cell r="A90" t="str">
            <v>Atul V Hurkat HUF</v>
          </cell>
          <cell r="B90">
            <v>7</v>
          </cell>
          <cell r="C90" t="str">
            <v>Trade Payables</v>
          </cell>
          <cell r="D90" t="str">
            <v>Trade Payables</v>
          </cell>
          <cell r="E90">
            <v>0</v>
          </cell>
          <cell r="F90">
            <v>0</v>
          </cell>
          <cell r="G90">
            <v>0</v>
          </cell>
          <cell r="H90">
            <v>0</v>
          </cell>
          <cell r="I90">
            <v>0</v>
          </cell>
          <cell r="J90">
            <v>0</v>
          </cell>
          <cell r="K90">
            <v>0</v>
          </cell>
          <cell r="L90">
            <v>0</v>
          </cell>
          <cell r="M90">
            <v>0</v>
          </cell>
          <cell r="N90">
            <v>72000</v>
          </cell>
          <cell r="O90">
            <v>0</v>
          </cell>
          <cell r="P90">
            <v>72000</v>
          </cell>
        </row>
        <row r="91">
          <cell r="A91" t="str">
            <v>Audit Expenses (Darak)</v>
          </cell>
          <cell r="B91">
            <v>26</v>
          </cell>
          <cell r="C91" t="str">
            <v>Other Expenses</v>
          </cell>
          <cell r="D91" t="str">
            <v>Establishment Expenses-Auditors Remuneration</v>
          </cell>
          <cell r="E91">
            <v>3827</v>
          </cell>
          <cell r="F91">
            <v>0</v>
          </cell>
          <cell r="G91">
            <v>3827</v>
          </cell>
          <cell r="H91">
            <v>0</v>
          </cell>
          <cell r="I91">
            <v>0</v>
          </cell>
          <cell r="J91">
            <v>0</v>
          </cell>
          <cell r="K91">
            <v>14365</v>
          </cell>
          <cell r="L91">
            <v>0</v>
          </cell>
          <cell r="M91">
            <v>14365</v>
          </cell>
          <cell r="N91">
            <v>0</v>
          </cell>
          <cell r="O91">
            <v>0</v>
          </cell>
          <cell r="P91">
            <v>0</v>
          </cell>
        </row>
        <row r="92">
          <cell r="A92" t="str">
            <v>Audit Expenses (Walter)</v>
          </cell>
          <cell r="B92">
            <v>26</v>
          </cell>
          <cell r="C92" t="str">
            <v>Other Expenses</v>
          </cell>
          <cell r="D92" t="str">
            <v>Establishment Expenses-Auditors Remuneration</v>
          </cell>
          <cell r="E92">
            <v>7719</v>
          </cell>
          <cell r="F92">
            <v>0</v>
          </cell>
          <cell r="G92">
            <v>7719</v>
          </cell>
          <cell r="H92">
            <v>0</v>
          </cell>
          <cell r="I92">
            <v>0</v>
          </cell>
          <cell r="J92">
            <v>0</v>
          </cell>
          <cell r="K92">
            <v>0</v>
          </cell>
          <cell r="L92">
            <v>0</v>
          </cell>
          <cell r="M92">
            <v>0</v>
          </cell>
          <cell r="N92">
            <v>0</v>
          </cell>
          <cell r="O92">
            <v>0</v>
          </cell>
          <cell r="P92">
            <v>0</v>
          </cell>
        </row>
        <row r="93">
          <cell r="A93" t="str">
            <v>Audit Expenses : (Excise)</v>
          </cell>
          <cell r="B93">
            <v>26</v>
          </cell>
          <cell r="C93" t="str">
            <v>Other Expenses</v>
          </cell>
          <cell r="D93" t="str">
            <v>Establishment Expenses-Auditors Remuneration</v>
          </cell>
          <cell r="E93">
            <v>0</v>
          </cell>
          <cell r="F93">
            <v>0</v>
          </cell>
          <cell r="G93">
            <v>0</v>
          </cell>
          <cell r="H93">
            <v>0</v>
          </cell>
          <cell r="I93">
            <v>0</v>
          </cell>
          <cell r="J93">
            <v>0</v>
          </cell>
          <cell r="K93">
            <v>1450</v>
          </cell>
          <cell r="L93">
            <v>0</v>
          </cell>
          <cell r="M93">
            <v>1450</v>
          </cell>
          <cell r="N93">
            <v>0</v>
          </cell>
          <cell r="O93">
            <v>0</v>
          </cell>
          <cell r="P93">
            <v>0</v>
          </cell>
        </row>
        <row r="94">
          <cell r="A94" t="str">
            <v>Audit Fees Payable</v>
          </cell>
          <cell r="B94">
            <v>7</v>
          </cell>
          <cell r="C94" t="str">
            <v>Trade Payables</v>
          </cell>
          <cell r="D94" t="str">
            <v>Trade Payables - Others</v>
          </cell>
          <cell r="E94">
            <v>0</v>
          </cell>
          <cell r="F94">
            <v>0</v>
          </cell>
          <cell r="G94">
            <v>0</v>
          </cell>
          <cell r="H94">
            <v>221000</v>
          </cell>
          <cell r="I94">
            <v>0</v>
          </cell>
          <cell r="J94">
            <v>221000</v>
          </cell>
          <cell r="K94">
            <v>0</v>
          </cell>
          <cell r="L94">
            <v>0</v>
          </cell>
          <cell r="M94">
            <v>0</v>
          </cell>
          <cell r="N94">
            <v>225000</v>
          </cell>
          <cell r="O94">
            <v>0</v>
          </cell>
          <cell r="P94">
            <v>225000</v>
          </cell>
        </row>
        <row r="95">
          <cell r="A95" t="str">
            <v>B R R Logistics</v>
          </cell>
          <cell r="B95">
            <v>7</v>
          </cell>
          <cell r="C95" t="str">
            <v>Trade Payables</v>
          </cell>
          <cell r="D95" t="str">
            <v>Trade Payables</v>
          </cell>
          <cell r="E95">
            <v>0</v>
          </cell>
          <cell r="F95">
            <v>0</v>
          </cell>
          <cell r="G95">
            <v>0</v>
          </cell>
          <cell r="H95">
            <v>0</v>
          </cell>
          <cell r="I95">
            <v>0</v>
          </cell>
          <cell r="J95">
            <v>0</v>
          </cell>
          <cell r="K95">
            <v>0</v>
          </cell>
          <cell r="L95">
            <v>0</v>
          </cell>
          <cell r="M95">
            <v>0</v>
          </cell>
          <cell r="N95">
            <v>0</v>
          </cell>
          <cell r="O95">
            <v>0</v>
          </cell>
          <cell r="P95">
            <v>0</v>
          </cell>
        </row>
        <row r="96">
          <cell r="A96" t="str">
            <v>Bad Debts</v>
          </cell>
          <cell r="B96">
            <v>26</v>
          </cell>
          <cell r="C96" t="str">
            <v>Other Expenses</v>
          </cell>
          <cell r="D96" t="str">
            <v>Bad Debts</v>
          </cell>
          <cell r="E96">
            <v>2606</v>
          </cell>
          <cell r="F96">
            <v>0</v>
          </cell>
          <cell r="G96">
            <v>2606</v>
          </cell>
          <cell r="H96">
            <v>0</v>
          </cell>
          <cell r="I96">
            <v>0</v>
          </cell>
          <cell r="J96">
            <v>0</v>
          </cell>
          <cell r="K96">
            <v>320437.44</v>
          </cell>
          <cell r="L96">
            <v>2690937.5</v>
          </cell>
          <cell r="M96">
            <v>3011374.94</v>
          </cell>
          <cell r="N96">
            <v>0</v>
          </cell>
          <cell r="O96">
            <v>0</v>
          </cell>
          <cell r="P96">
            <v>0</v>
          </cell>
        </row>
        <row r="97">
          <cell r="A97" t="str">
            <v>Balaji Enterprises</v>
          </cell>
          <cell r="B97">
            <v>7</v>
          </cell>
          <cell r="C97" t="str">
            <v>Trade Payables</v>
          </cell>
          <cell r="D97" t="str">
            <v>Trade Payables</v>
          </cell>
          <cell r="E97">
            <v>0</v>
          </cell>
          <cell r="F97">
            <v>0</v>
          </cell>
          <cell r="G97">
            <v>0</v>
          </cell>
          <cell r="H97">
            <v>72103.8</v>
          </cell>
          <cell r="I97">
            <v>0</v>
          </cell>
          <cell r="J97">
            <v>72103.8</v>
          </cell>
          <cell r="K97">
            <v>0</v>
          </cell>
          <cell r="L97">
            <v>0</v>
          </cell>
          <cell r="M97">
            <v>0</v>
          </cell>
          <cell r="N97">
            <v>56666</v>
          </cell>
          <cell r="O97">
            <v>0</v>
          </cell>
          <cell r="P97">
            <v>56666</v>
          </cell>
        </row>
        <row r="98">
          <cell r="A98" t="str">
            <v>Baljit Kaur</v>
          </cell>
          <cell r="B98">
            <v>4</v>
          </cell>
          <cell r="C98" t="str">
            <v>Long Term Borrowings</v>
          </cell>
          <cell r="D98" t="str">
            <v>Unsecured-From Related Party</v>
          </cell>
          <cell r="E98">
            <v>0</v>
          </cell>
          <cell r="F98">
            <v>0</v>
          </cell>
          <cell r="G98">
            <v>0</v>
          </cell>
          <cell r="H98">
            <v>0</v>
          </cell>
          <cell r="I98">
            <v>0</v>
          </cell>
          <cell r="J98">
            <v>0</v>
          </cell>
          <cell r="K98">
            <v>0</v>
          </cell>
          <cell r="L98">
            <v>0</v>
          </cell>
          <cell r="M98">
            <v>0</v>
          </cell>
          <cell r="N98">
            <v>0</v>
          </cell>
          <cell r="O98">
            <v>0</v>
          </cell>
          <cell r="P98">
            <v>0</v>
          </cell>
        </row>
        <row r="99">
          <cell r="A99" t="str">
            <v>Baljit Kaur Manindersingh Saini</v>
          </cell>
          <cell r="B99">
            <v>4</v>
          </cell>
          <cell r="C99" t="str">
            <v>Long Term Borrowings</v>
          </cell>
          <cell r="D99" t="str">
            <v>Unsecured-From Related Party</v>
          </cell>
          <cell r="E99">
            <v>0</v>
          </cell>
          <cell r="F99">
            <v>0</v>
          </cell>
          <cell r="G99">
            <v>0</v>
          </cell>
          <cell r="H99">
            <v>1093348</v>
          </cell>
          <cell r="I99">
            <v>0</v>
          </cell>
          <cell r="J99">
            <v>1093348</v>
          </cell>
          <cell r="K99">
            <v>0</v>
          </cell>
          <cell r="L99">
            <v>0</v>
          </cell>
          <cell r="M99">
            <v>0</v>
          </cell>
          <cell r="N99">
            <v>1000000</v>
          </cell>
          <cell r="O99">
            <v>0</v>
          </cell>
          <cell r="P99">
            <v>1000000</v>
          </cell>
        </row>
        <row r="100">
          <cell r="A100" t="str">
            <v>BALJITSINGH SAINI</v>
          </cell>
          <cell r="B100">
            <v>4</v>
          </cell>
          <cell r="C100" t="str">
            <v>Long Term Borrowings</v>
          </cell>
          <cell r="D100" t="str">
            <v>Unsecured-From Related Party</v>
          </cell>
          <cell r="E100">
            <v>0</v>
          </cell>
          <cell r="F100">
            <v>0</v>
          </cell>
          <cell r="G100">
            <v>0</v>
          </cell>
          <cell r="H100">
            <v>0</v>
          </cell>
          <cell r="I100">
            <v>0</v>
          </cell>
          <cell r="J100">
            <v>0</v>
          </cell>
          <cell r="K100">
            <v>0</v>
          </cell>
          <cell r="L100">
            <v>0</v>
          </cell>
          <cell r="M100">
            <v>0</v>
          </cell>
          <cell r="N100">
            <v>0</v>
          </cell>
          <cell r="O100">
            <v>0</v>
          </cell>
          <cell r="P100">
            <v>0</v>
          </cell>
        </row>
        <row r="101">
          <cell r="A101" t="str">
            <v>Bank Commission &amp; Charges</v>
          </cell>
          <cell r="B101">
            <v>26</v>
          </cell>
          <cell r="C101" t="str">
            <v>Other Expenses</v>
          </cell>
          <cell r="D101" t="str">
            <v>Establishment Expenses-Bank Charges</v>
          </cell>
          <cell r="E101">
            <v>474777.13</v>
          </cell>
          <cell r="F101">
            <v>0</v>
          </cell>
          <cell r="G101">
            <v>474777.13</v>
          </cell>
          <cell r="H101">
            <v>0</v>
          </cell>
          <cell r="I101">
            <v>0</v>
          </cell>
          <cell r="J101">
            <v>0</v>
          </cell>
          <cell r="K101">
            <v>495794.41</v>
          </cell>
          <cell r="L101">
            <v>0</v>
          </cell>
          <cell r="M101">
            <v>495794.41</v>
          </cell>
          <cell r="N101">
            <v>0</v>
          </cell>
          <cell r="O101">
            <v>0</v>
          </cell>
          <cell r="P101">
            <v>0</v>
          </cell>
        </row>
        <row r="102">
          <cell r="A102" t="str">
            <v>Bank Facility Charges</v>
          </cell>
          <cell r="B102">
            <v>26</v>
          </cell>
          <cell r="C102" t="str">
            <v>Other Expenses</v>
          </cell>
          <cell r="D102" t="str">
            <v>Establishment Expenses-Bank Charges</v>
          </cell>
          <cell r="E102">
            <v>132600</v>
          </cell>
          <cell r="F102">
            <v>0</v>
          </cell>
          <cell r="G102">
            <v>132600</v>
          </cell>
          <cell r="H102">
            <v>0</v>
          </cell>
          <cell r="I102">
            <v>0</v>
          </cell>
          <cell r="J102">
            <v>0</v>
          </cell>
          <cell r="K102">
            <v>50000</v>
          </cell>
          <cell r="L102">
            <v>0</v>
          </cell>
          <cell r="M102">
            <v>50000</v>
          </cell>
          <cell r="N102">
            <v>0</v>
          </cell>
          <cell r="O102">
            <v>0</v>
          </cell>
          <cell r="P102">
            <v>0</v>
          </cell>
        </row>
        <row r="103">
          <cell r="A103" t="str">
            <v>BANK GUARANTEE CHARGES</v>
          </cell>
          <cell r="B103">
            <v>25</v>
          </cell>
          <cell r="C103" t="str">
            <v>Finance Costs</v>
          </cell>
          <cell r="D103" t="str">
            <v>Other Borrowing Costs</v>
          </cell>
          <cell r="E103">
            <v>185908</v>
          </cell>
          <cell r="F103">
            <v>0</v>
          </cell>
          <cell r="G103">
            <v>185908</v>
          </cell>
          <cell r="H103">
            <v>0</v>
          </cell>
          <cell r="I103">
            <v>0</v>
          </cell>
          <cell r="J103">
            <v>0</v>
          </cell>
          <cell r="K103">
            <v>146401</v>
          </cell>
          <cell r="L103">
            <v>0</v>
          </cell>
          <cell r="M103">
            <v>146401</v>
          </cell>
          <cell r="N103">
            <v>0</v>
          </cell>
          <cell r="O103">
            <v>0</v>
          </cell>
          <cell r="P103">
            <v>0</v>
          </cell>
        </row>
        <row r="104">
          <cell r="A104" t="str">
            <v>Bank Loan Processing Fees</v>
          </cell>
          <cell r="B104">
            <v>25</v>
          </cell>
          <cell r="C104" t="str">
            <v>Finance Costs</v>
          </cell>
          <cell r="D104" t="str">
            <v>Other Borrowing Costs</v>
          </cell>
          <cell r="E104">
            <v>140000</v>
          </cell>
          <cell r="F104">
            <v>0</v>
          </cell>
          <cell r="G104">
            <v>140000</v>
          </cell>
          <cell r="H104">
            <v>0</v>
          </cell>
          <cell r="I104">
            <v>0</v>
          </cell>
          <cell r="J104">
            <v>0</v>
          </cell>
          <cell r="K104">
            <v>293473.74</v>
          </cell>
          <cell r="L104">
            <v>0</v>
          </cell>
          <cell r="M104">
            <v>293473.74</v>
          </cell>
          <cell r="N104">
            <v>0</v>
          </cell>
          <cell r="O104">
            <v>0</v>
          </cell>
          <cell r="P104">
            <v>0</v>
          </cell>
        </row>
        <row r="105">
          <cell r="A105" t="str">
            <v>Batish Chemicals I India Pvt.Ltd.</v>
          </cell>
          <cell r="B105">
            <v>7</v>
          </cell>
          <cell r="C105" t="str">
            <v>Trade Payables</v>
          </cell>
          <cell r="D105" t="str">
            <v>Trade Payables</v>
          </cell>
          <cell r="E105">
            <v>0</v>
          </cell>
          <cell r="F105">
            <v>0</v>
          </cell>
          <cell r="G105">
            <v>0</v>
          </cell>
          <cell r="H105">
            <v>0</v>
          </cell>
          <cell r="I105">
            <v>0</v>
          </cell>
          <cell r="J105">
            <v>0</v>
          </cell>
          <cell r="K105">
            <v>0</v>
          </cell>
          <cell r="L105">
            <v>0</v>
          </cell>
          <cell r="M105">
            <v>0</v>
          </cell>
          <cell r="N105">
            <v>442500</v>
          </cell>
          <cell r="O105">
            <v>0</v>
          </cell>
          <cell r="P105">
            <v>442500</v>
          </cell>
        </row>
        <row r="106">
          <cell r="A106" t="str">
            <v>Bearing Centre</v>
          </cell>
          <cell r="B106">
            <v>7</v>
          </cell>
          <cell r="C106" t="str">
            <v>Trade Payables</v>
          </cell>
          <cell r="D106" t="str">
            <v>Trade Payables</v>
          </cell>
          <cell r="E106">
            <v>0</v>
          </cell>
          <cell r="F106">
            <v>0</v>
          </cell>
          <cell r="G106">
            <v>0</v>
          </cell>
          <cell r="H106">
            <v>53563</v>
          </cell>
          <cell r="I106">
            <v>0</v>
          </cell>
          <cell r="J106">
            <v>53563</v>
          </cell>
          <cell r="K106">
            <v>0</v>
          </cell>
          <cell r="L106">
            <v>0</v>
          </cell>
          <cell r="M106">
            <v>0</v>
          </cell>
          <cell r="N106">
            <v>18753</v>
          </cell>
          <cell r="O106">
            <v>0</v>
          </cell>
          <cell r="P106">
            <v>18753</v>
          </cell>
        </row>
        <row r="107">
          <cell r="A107" t="str">
            <v>Best Engineering Works Regd. Punjab</v>
          </cell>
          <cell r="B107">
            <v>7</v>
          </cell>
          <cell r="C107" t="str">
            <v>Trade Payables</v>
          </cell>
          <cell r="D107" t="str">
            <v>Trade Payables</v>
          </cell>
          <cell r="E107">
            <v>0</v>
          </cell>
          <cell r="F107">
            <v>0</v>
          </cell>
          <cell r="G107">
            <v>0</v>
          </cell>
          <cell r="H107">
            <v>0</v>
          </cell>
          <cell r="I107">
            <v>0</v>
          </cell>
          <cell r="J107">
            <v>0</v>
          </cell>
          <cell r="K107">
            <v>0</v>
          </cell>
          <cell r="L107">
            <v>0</v>
          </cell>
          <cell r="M107">
            <v>0</v>
          </cell>
          <cell r="N107">
            <v>107380</v>
          </cell>
          <cell r="O107">
            <v>0</v>
          </cell>
          <cell r="P107">
            <v>107380</v>
          </cell>
        </row>
        <row r="108">
          <cell r="A108" t="str">
            <v>BHAGAWATI ROADLINES</v>
          </cell>
          <cell r="B108">
            <v>7</v>
          </cell>
          <cell r="C108" t="str">
            <v>Trade Payables</v>
          </cell>
          <cell r="D108" t="str">
            <v>Trade Payables</v>
          </cell>
          <cell r="E108">
            <v>0</v>
          </cell>
          <cell r="F108">
            <v>0</v>
          </cell>
          <cell r="G108">
            <v>0</v>
          </cell>
          <cell r="H108">
            <v>0</v>
          </cell>
          <cell r="I108">
            <v>0</v>
          </cell>
          <cell r="J108">
            <v>0</v>
          </cell>
          <cell r="K108">
            <v>0</v>
          </cell>
          <cell r="L108">
            <v>0</v>
          </cell>
          <cell r="M108">
            <v>0</v>
          </cell>
          <cell r="N108">
            <v>0</v>
          </cell>
          <cell r="O108">
            <v>0</v>
          </cell>
          <cell r="P108">
            <v>0</v>
          </cell>
        </row>
        <row r="109">
          <cell r="A109" t="str">
            <v>BHARADWAJ PACKAGING PVT. LTD.</v>
          </cell>
          <cell r="B109">
            <v>15</v>
          </cell>
          <cell r="C109" t="str">
            <v>Trade Receivables</v>
          </cell>
          <cell r="D109" t="str">
            <v>Trade Receivables</v>
          </cell>
          <cell r="E109">
            <v>0</v>
          </cell>
          <cell r="F109">
            <v>0</v>
          </cell>
          <cell r="G109">
            <v>0</v>
          </cell>
          <cell r="H109">
            <v>0</v>
          </cell>
          <cell r="I109">
            <v>0</v>
          </cell>
          <cell r="J109">
            <v>0</v>
          </cell>
          <cell r="K109">
            <v>2018054</v>
          </cell>
          <cell r="L109">
            <v>0</v>
          </cell>
          <cell r="M109">
            <v>2018054</v>
          </cell>
          <cell r="N109">
            <v>0</v>
          </cell>
          <cell r="O109">
            <v>0</v>
          </cell>
          <cell r="P109">
            <v>0</v>
          </cell>
        </row>
        <row r="110">
          <cell r="A110" t="str">
            <v>BHARTIA COMMERCIAL COMPANY</v>
          </cell>
          <cell r="B110">
            <v>15</v>
          </cell>
          <cell r="C110" t="str">
            <v>Trade Receivables</v>
          </cell>
          <cell r="D110" t="str">
            <v>Other Debts</v>
          </cell>
          <cell r="E110">
            <v>0</v>
          </cell>
          <cell r="F110">
            <v>0</v>
          </cell>
          <cell r="G110">
            <v>0</v>
          </cell>
          <cell r="H110">
            <v>0</v>
          </cell>
          <cell r="I110">
            <v>0</v>
          </cell>
          <cell r="J110">
            <v>0</v>
          </cell>
          <cell r="K110">
            <v>0</v>
          </cell>
          <cell r="L110">
            <v>0</v>
          </cell>
          <cell r="M110">
            <v>0</v>
          </cell>
          <cell r="N110">
            <v>0</v>
          </cell>
          <cell r="O110">
            <v>0</v>
          </cell>
          <cell r="P110">
            <v>0</v>
          </cell>
        </row>
        <row r="111">
          <cell r="A111" t="str">
            <v>Bhoomi Analyzers</v>
          </cell>
          <cell r="B111">
            <v>7</v>
          </cell>
          <cell r="C111" t="str">
            <v>Trade Payables</v>
          </cell>
          <cell r="D111" t="str">
            <v>Trade Payables</v>
          </cell>
          <cell r="E111">
            <v>0</v>
          </cell>
          <cell r="F111">
            <v>0</v>
          </cell>
          <cell r="G111">
            <v>0</v>
          </cell>
          <cell r="H111">
            <v>0</v>
          </cell>
          <cell r="I111">
            <v>0</v>
          </cell>
          <cell r="J111">
            <v>0</v>
          </cell>
          <cell r="K111">
            <v>0</v>
          </cell>
          <cell r="L111">
            <v>0</v>
          </cell>
          <cell r="M111">
            <v>0</v>
          </cell>
          <cell r="N111">
            <v>0</v>
          </cell>
          <cell r="O111">
            <v>0</v>
          </cell>
          <cell r="P111">
            <v>0</v>
          </cell>
        </row>
        <row r="112">
          <cell r="A112" t="str">
            <v>Boiler Fireman  (Feeding Charges)</v>
          </cell>
          <cell r="B112">
            <v>26</v>
          </cell>
          <cell r="C112" t="str">
            <v>Other Expenses</v>
          </cell>
          <cell r="D112" t="str">
            <v>Manufacturing Expenses - Factory Expenses</v>
          </cell>
          <cell r="E112">
            <v>3586075</v>
          </cell>
          <cell r="F112">
            <v>0</v>
          </cell>
          <cell r="G112">
            <v>3586075</v>
          </cell>
          <cell r="H112">
            <v>0</v>
          </cell>
          <cell r="I112">
            <v>0</v>
          </cell>
          <cell r="J112">
            <v>0</v>
          </cell>
          <cell r="K112">
            <v>3427004</v>
          </cell>
          <cell r="L112">
            <v>0</v>
          </cell>
          <cell r="M112">
            <v>3427004</v>
          </cell>
          <cell r="N112">
            <v>0</v>
          </cell>
          <cell r="O112">
            <v>0</v>
          </cell>
          <cell r="P112">
            <v>0</v>
          </cell>
        </row>
        <row r="113">
          <cell r="A113" t="str">
            <v>Boiler Shed</v>
          </cell>
          <cell r="B113">
            <v>10</v>
          </cell>
          <cell r="C113" t="str">
            <v>Fixed Assets</v>
          </cell>
          <cell r="D113" t="str">
            <v>Tangible Asset</v>
          </cell>
          <cell r="E113">
            <v>0</v>
          </cell>
          <cell r="F113">
            <v>0</v>
          </cell>
          <cell r="G113">
            <v>0</v>
          </cell>
          <cell r="H113">
            <v>0</v>
          </cell>
          <cell r="I113">
            <v>0</v>
          </cell>
          <cell r="J113">
            <v>0</v>
          </cell>
          <cell r="K113">
            <v>0</v>
          </cell>
          <cell r="L113">
            <v>0</v>
          </cell>
          <cell r="M113">
            <v>0</v>
          </cell>
          <cell r="N113">
            <v>0</v>
          </cell>
          <cell r="O113">
            <v>0</v>
          </cell>
          <cell r="P113">
            <v>0</v>
          </cell>
        </row>
        <row r="114">
          <cell r="A114" t="str">
            <v>Books News Paper &amp; Perodicals</v>
          </cell>
          <cell r="B114">
            <v>26</v>
          </cell>
          <cell r="C114" t="str">
            <v>Other Expenses</v>
          </cell>
          <cell r="D114" t="str">
            <v>Establishment Expenses-Office Expenses</v>
          </cell>
          <cell r="E114">
            <v>3442</v>
          </cell>
          <cell r="F114">
            <v>0</v>
          </cell>
          <cell r="G114">
            <v>3442</v>
          </cell>
          <cell r="H114">
            <v>0</v>
          </cell>
          <cell r="I114">
            <v>0</v>
          </cell>
          <cell r="J114">
            <v>0</v>
          </cell>
          <cell r="K114">
            <v>3166</v>
          </cell>
          <cell r="L114">
            <v>0</v>
          </cell>
          <cell r="M114">
            <v>3166</v>
          </cell>
          <cell r="N114">
            <v>0</v>
          </cell>
          <cell r="O114">
            <v>0</v>
          </cell>
          <cell r="P114">
            <v>0</v>
          </cell>
        </row>
        <row r="115">
          <cell r="A115" t="str">
            <v>Borewell</v>
          </cell>
          <cell r="B115">
            <v>10</v>
          </cell>
          <cell r="C115" t="str">
            <v>Fixed Assets</v>
          </cell>
          <cell r="D115" t="str">
            <v>Tangible Asset</v>
          </cell>
          <cell r="E115">
            <v>0</v>
          </cell>
          <cell r="F115">
            <v>0</v>
          </cell>
          <cell r="G115">
            <v>0</v>
          </cell>
          <cell r="H115">
            <v>0</v>
          </cell>
          <cell r="I115">
            <v>0</v>
          </cell>
          <cell r="J115">
            <v>0</v>
          </cell>
          <cell r="K115">
            <v>0</v>
          </cell>
          <cell r="L115">
            <v>0</v>
          </cell>
          <cell r="M115">
            <v>0</v>
          </cell>
          <cell r="N115">
            <v>0</v>
          </cell>
          <cell r="O115">
            <v>0</v>
          </cell>
          <cell r="P115">
            <v>0</v>
          </cell>
        </row>
        <row r="116">
          <cell r="A116" t="str">
            <v>BSR Godown</v>
          </cell>
          <cell r="B116">
            <v>10</v>
          </cell>
          <cell r="C116" t="str">
            <v>Fixed Assets</v>
          </cell>
          <cell r="D116" t="str">
            <v>Tangible Asset</v>
          </cell>
          <cell r="E116">
            <v>0</v>
          </cell>
          <cell r="F116">
            <v>0</v>
          </cell>
          <cell r="G116">
            <v>0</v>
          </cell>
          <cell r="H116">
            <v>0</v>
          </cell>
          <cell r="I116">
            <v>0</v>
          </cell>
          <cell r="J116">
            <v>0</v>
          </cell>
          <cell r="K116">
            <v>0</v>
          </cell>
          <cell r="L116">
            <v>0</v>
          </cell>
          <cell r="M116">
            <v>0</v>
          </cell>
          <cell r="N116">
            <v>0</v>
          </cell>
          <cell r="O116">
            <v>0</v>
          </cell>
          <cell r="P116">
            <v>0</v>
          </cell>
        </row>
        <row r="117">
          <cell r="A117" t="str">
            <v>Building</v>
          </cell>
          <cell r="B117">
            <v>10</v>
          </cell>
          <cell r="C117" t="str">
            <v>Fixed Assets</v>
          </cell>
          <cell r="D117" t="str">
            <v>Tangible Asset</v>
          </cell>
          <cell r="E117">
            <v>56016203.549999997</v>
          </cell>
          <cell r="F117">
            <v>0</v>
          </cell>
          <cell r="G117">
            <v>56016203.549999997</v>
          </cell>
          <cell r="H117">
            <v>0</v>
          </cell>
          <cell r="I117">
            <v>0</v>
          </cell>
          <cell r="J117">
            <v>0</v>
          </cell>
          <cell r="K117">
            <v>55036932.399999999</v>
          </cell>
          <cell r="L117">
            <v>0</v>
          </cell>
          <cell r="M117">
            <v>55036932.399999999</v>
          </cell>
          <cell r="N117">
            <v>0</v>
          </cell>
          <cell r="O117">
            <v>0</v>
          </cell>
          <cell r="P117">
            <v>0</v>
          </cell>
        </row>
        <row r="118">
          <cell r="A118" t="str">
            <v>C.S.T. On Chemical Purchase</v>
          </cell>
          <cell r="B118">
            <v>22</v>
          </cell>
          <cell r="C118" t="str">
            <v>Raw Material Consumed</v>
          </cell>
          <cell r="D118" t="str">
            <v>Raw Material Purchase</v>
          </cell>
          <cell r="E118">
            <v>0</v>
          </cell>
          <cell r="F118">
            <v>0</v>
          </cell>
          <cell r="G118">
            <v>0</v>
          </cell>
          <cell r="H118">
            <v>0</v>
          </cell>
          <cell r="I118">
            <v>0</v>
          </cell>
          <cell r="J118">
            <v>0</v>
          </cell>
          <cell r="K118">
            <v>0</v>
          </cell>
          <cell r="L118">
            <v>0</v>
          </cell>
          <cell r="M118">
            <v>0</v>
          </cell>
          <cell r="N118">
            <v>0</v>
          </cell>
          <cell r="O118">
            <v>0</v>
          </cell>
          <cell r="P118">
            <v>0</v>
          </cell>
        </row>
        <row r="119">
          <cell r="A119" t="str">
            <v>URD Purchase of Chemical</v>
          </cell>
          <cell r="B119">
            <v>22</v>
          </cell>
          <cell r="C119" t="str">
            <v>Raw Material Consumed</v>
          </cell>
          <cell r="D119" t="str">
            <v>Raw Material Purchase</v>
          </cell>
          <cell r="E119">
            <v>900</v>
          </cell>
          <cell r="F119">
            <v>0</v>
          </cell>
          <cell r="G119">
            <v>900</v>
          </cell>
          <cell r="H119">
            <v>0</v>
          </cell>
          <cell r="I119">
            <v>0</v>
          </cell>
          <cell r="J119">
            <v>0</v>
          </cell>
          <cell r="K119">
            <v>0</v>
          </cell>
          <cell r="L119">
            <v>0</v>
          </cell>
          <cell r="M119">
            <v>0</v>
          </cell>
          <cell r="N119">
            <v>0</v>
          </cell>
          <cell r="O119">
            <v>0</v>
          </cell>
          <cell r="P119">
            <v>0</v>
          </cell>
        </row>
        <row r="120">
          <cell r="A120" t="str">
            <v>Capital Reserves</v>
          </cell>
          <cell r="B120">
            <v>3</v>
          </cell>
          <cell r="C120" t="str">
            <v>Reserves &amp; Surplus</v>
          </cell>
          <cell r="D120" t="str">
            <v>Capital Reserve</v>
          </cell>
          <cell r="E120">
            <v>0</v>
          </cell>
          <cell r="F120">
            <v>0</v>
          </cell>
          <cell r="G120">
            <v>0</v>
          </cell>
          <cell r="H120">
            <v>20413989</v>
          </cell>
          <cell r="I120">
            <v>0</v>
          </cell>
          <cell r="J120">
            <v>20413989</v>
          </cell>
          <cell r="K120">
            <v>0</v>
          </cell>
          <cell r="L120">
            <v>0</v>
          </cell>
          <cell r="M120">
            <v>0</v>
          </cell>
          <cell r="N120">
            <v>20413989</v>
          </cell>
          <cell r="O120">
            <v>0</v>
          </cell>
          <cell r="P120">
            <v>20413989</v>
          </cell>
        </row>
        <row r="121">
          <cell r="A121" t="str">
            <v>Carriage Inward : Machinery Rep&amp;Maint</v>
          </cell>
          <cell r="B121">
            <v>26</v>
          </cell>
          <cell r="C121" t="str">
            <v>Other Expenses</v>
          </cell>
          <cell r="D121" t="str">
            <v>Manufacturing Expenses-Repairs &amp; Maintainence Machinery</v>
          </cell>
          <cell r="E121">
            <v>373855</v>
          </cell>
          <cell r="F121">
            <v>0</v>
          </cell>
          <cell r="G121">
            <v>373855</v>
          </cell>
          <cell r="H121">
            <v>0</v>
          </cell>
          <cell r="I121">
            <v>0</v>
          </cell>
          <cell r="J121">
            <v>0</v>
          </cell>
          <cell r="K121">
            <v>581423</v>
          </cell>
          <cell r="L121">
            <v>0</v>
          </cell>
          <cell r="M121">
            <v>581423</v>
          </cell>
          <cell r="N121">
            <v>0</v>
          </cell>
          <cell r="O121">
            <v>0</v>
          </cell>
          <cell r="P121">
            <v>0</v>
          </cell>
        </row>
        <row r="122">
          <cell r="A122" t="str">
            <v>Carriage Inward { Store }</v>
          </cell>
          <cell r="B122">
            <v>26</v>
          </cell>
          <cell r="C122" t="str">
            <v>Other Expenses</v>
          </cell>
          <cell r="D122" t="str">
            <v>Manufacturing Expenses - Factory Expenses</v>
          </cell>
          <cell r="E122">
            <v>95134</v>
          </cell>
          <cell r="F122">
            <v>0</v>
          </cell>
          <cell r="G122">
            <v>95134</v>
          </cell>
          <cell r="H122">
            <v>0</v>
          </cell>
          <cell r="I122">
            <v>0</v>
          </cell>
          <cell r="J122">
            <v>0</v>
          </cell>
          <cell r="K122">
            <v>205186</v>
          </cell>
          <cell r="L122">
            <v>0</v>
          </cell>
          <cell r="M122">
            <v>205186</v>
          </cell>
          <cell r="N122">
            <v>0</v>
          </cell>
          <cell r="O122">
            <v>0</v>
          </cell>
          <cell r="P122">
            <v>0</v>
          </cell>
        </row>
        <row r="123">
          <cell r="A123" t="str">
            <v>Carriage Outward Machinery</v>
          </cell>
          <cell r="B123">
            <v>26</v>
          </cell>
          <cell r="C123" t="str">
            <v>Other Expenses</v>
          </cell>
          <cell r="D123" t="str">
            <v>Manufacturing Expenses - Factory Expenses</v>
          </cell>
          <cell r="E123">
            <v>64762</v>
          </cell>
          <cell r="F123">
            <v>0</v>
          </cell>
          <cell r="G123">
            <v>64762</v>
          </cell>
          <cell r="H123">
            <v>0</v>
          </cell>
          <cell r="I123">
            <v>0</v>
          </cell>
          <cell r="J123">
            <v>0</v>
          </cell>
          <cell r="K123">
            <v>93095</v>
          </cell>
          <cell r="L123">
            <v>0</v>
          </cell>
          <cell r="M123">
            <v>93095</v>
          </cell>
          <cell r="N123">
            <v>0</v>
          </cell>
          <cell r="O123">
            <v>0</v>
          </cell>
          <cell r="P123">
            <v>0</v>
          </cell>
        </row>
        <row r="124">
          <cell r="A124" t="str">
            <v>Cash</v>
          </cell>
          <cell r="B124">
            <v>16</v>
          </cell>
          <cell r="C124" t="str">
            <v>Cash And Bank Balances</v>
          </cell>
          <cell r="D124" t="str">
            <v>Cash On Hand</v>
          </cell>
          <cell r="E124">
            <v>234166</v>
          </cell>
          <cell r="F124">
            <v>0</v>
          </cell>
          <cell r="G124">
            <v>234166</v>
          </cell>
          <cell r="H124">
            <v>0</v>
          </cell>
          <cell r="I124">
            <v>0</v>
          </cell>
          <cell r="J124">
            <v>0</v>
          </cell>
          <cell r="K124">
            <v>83523</v>
          </cell>
          <cell r="L124">
            <v>0</v>
          </cell>
          <cell r="M124">
            <v>83523</v>
          </cell>
          <cell r="N124">
            <v>0</v>
          </cell>
          <cell r="O124">
            <v>0</v>
          </cell>
          <cell r="P124">
            <v>0</v>
          </cell>
        </row>
        <row r="125">
          <cell r="A125" t="str">
            <v>CGST Payable ( F. Y. 2018-19)</v>
          </cell>
          <cell r="B125">
            <v>8</v>
          </cell>
          <cell r="C125" t="str">
            <v>Other Current Liabilities</v>
          </cell>
          <cell r="D125" t="str">
            <v>Statutory Dues</v>
          </cell>
          <cell r="E125">
            <v>0</v>
          </cell>
          <cell r="F125">
            <v>0</v>
          </cell>
          <cell r="G125">
            <v>0</v>
          </cell>
          <cell r="H125">
            <v>0</v>
          </cell>
          <cell r="I125">
            <v>0</v>
          </cell>
          <cell r="J125">
            <v>0</v>
          </cell>
          <cell r="K125">
            <v>0</v>
          </cell>
          <cell r="L125">
            <v>0</v>
          </cell>
          <cell r="M125">
            <v>0</v>
          </cell>
          <cell r="N125">
            <v>510288.85</v>
          </cell>
          <cell r="O125">
            <v>0</v>
          </cell>
          <cell r="P125">
            <v>510288.85</v>
          </cell>
        </row>
        <row r="126">
          <cell r="A126" t="str">
            <v>CGST Payable ( F.Y. 2017-18)</v>
          </cell>
          <cell r="B126">
            <v>8</v>
          </cell>
          <cell r="C126" t="str">
            <v>Other Current Liabilities</v>
          </cell>
          <cell r="D126" t="str">
            <v>Statutory Dues</v>
          </cell>
          <cell r="E126">
            <v>0</v>
          </cell>
          <cell r="F126">
            <v>0</v>
          </cell>
          <cell r="G126">
            <v>0</v>
          </cell>
          <cell r="H126">
            <v>0</v>
          </cell>
          <cell r="I126">
            <v>0</v>
          </cell>
          <cell r="J126">
            <v>0</v>
          </cell>
          <cell r="K126">
            <v>0</v>
          </cell>
          <cell r="L126">
            <v>0</v>
          </cell>
          <cell r="M126">
            <v>0</v>
          </cell>
          <cell r="N126">
            <v>254778.81</v>
          </cell>
          <cell r="O126">
            <v>0</v>
          </cell>
          <cell r="P126">
            <v>254778.81</v>
          </cell>
        </row>
        <row r="127">
          <cell r="A127" t="str">
            <v>CHACHA GOODS CARRIERS</v>
          </cell>
          <cell r="B127">
            <v>7</v>
          </cell>
          <cell r="C127" t="str">
            <v>Trade Payables</v>
          </cell>
          <cell r="D127" t="str">
            <v>Trade Payables - Others</v>
          </cell>
          <cell r="E127">
            <v>0</v>
          </cell>
          <cell r="F127">
            <v>0</v>
          </cell>
          <cell r="G127">
            <v>0</v>
          </cell>
          <cell r="H127">
            <v>0</v>
          </cell>
          <cell r="I127">
            <v>0</v>
          </cell>
          <cell r="J127">
            <v>0</v>
          </cell>
          <cell r="K127">
            <v>0</v>
          </cell>
          <cell r="L127">
            <v>0</v>
          </cell>
          <cell r="M127">
            <v>0</v>
          </cell>
          <cell r="N127">
            <v>35042</v>
          </cell>
          <cell r="O127">
            <v>0</v>
          </cell>
          <cell r="P127">
            <v>35042</v>
          </cell>
        </row>
        <row r="128">
          <cell r="A128" t="str">
            <v>CHANDRA COAL PVT. LTD. (SALE)</v>
          </cell>
          <cell r="B128">
            <v>15</v>
          </cell>
          <cell r="C128" t="str">
            <v>Trade Receivables</v>
          </cell>
          <cell r="D128" t="str">
            <v>Other Debts</v>
          </cell>
          <cell r="E128">
            <v>2655823</v>
          </cell>
          <cell r="F128">
            <v>0</v>
          </cell>
          <cell r="G128">
            <v>2655823</v>
          </cell>
          <cell r="H128">
            <v>0</v>
          </cell>
          <cell r="I128">
            <v>0</v>
          </cell>
          <cell r="J128">
            <v>0</v>
          </cell>
          <cell r="K128">
            <v>1406</v>
          </cell>
          <cell r="L128">
            <v>0</v>
          </cell>
          <cell r="M128">
            <v>1406</v>
          </cell>
          <cell r="N128">
            <v>0</v>
          </cell>
          <cell r="O128">
            <v>0</v>
          </cell>
          <cell r="P128">
            <v>0</v>
          </cell>
        </row>
        <row r="129">
          <cell r="A129" t="str">
            <v>CHANDRA COAL PVT.LTD.</v>
          </cell>
          <cell r="B129">
            <v>7</v>
          </cell>
          <cell r="C129" t="str">
            <v>Trade Payables</v>
          </cell>
          <cell r="D129" t="str">
            <v>Trade Payables</v>
          </cell>
          <cell r="E129">
            <v>0</v>
          </cell>
          <cell r="F129">
            <v>0</v>
          </cell>
          <cell r="G129">
            <v>0</v>
          </cell>
          <cell r="H129">
            <v>173652</v>
          </cell>
          <cell r="I129">
            <v>0</v>
          </cell>
          <cell r="J129">
            <v>173652</v>
          </cell>
          <cell r="K129">
            <v>0</v>
          </cell>
          <cell r="L129">
            <v>0</v>
          </cell>
          <cell r="M129">
            <v>0</v>
          </cell>
          <cell r="N129">
            <v>309282</v>
          </cell>
          <cell r="O129">
            <v>0</v>
          </cell>
          <cell r="P129">
            <v>309282</v>
          </cell>
        </row>
        <row r="130">
          <cell r="A130" t="str">
            <v>CHANDRA SALES CORP [ COAL ]</v>
          </cell>
          <cell r="B130">
            <v>7</v>
          </cell>
          <cell r="C130" t="str">
            <v>Trade Payables</v>
          </cell>
          <cell r="D130" t="str">
            <v>Trade Payables</v>
          </cell>
          <cell r="E130">
            <v>0</v>
          </cell>
          <cell r="F130">
            <v>0</v>
          </cell>
          <cell r="G130">
            <v>0</v>
          </cell>
          <cell r="H130">
            <v>0</v>
          </cell>
          <cell r="I130">
            <v>0</v>
          </cell>
          <cell r="J130">
            <v>0</v>
          </cell>
          <cell r="K130">
            <v>0</v>
          </cell>
          <cell r="L130">
            <v>0</v>
          </cell>
          <cell r="M130">
            <v>0</v>
          </cell>
          <cell r="N130">
            <v>0</v>
          </cell>
          <cell r="O130">
            <v>0</v>
          </cell>
          <cell r="P130">
            <v>0</v>
          </cell>
        </row>
        <row r="131">
          <cell r="A131" t="str">
            <v>CHANDRA SALES CORPORATION [ WP]</v>
          </cell>
          <cell r="B131">
            <v>7</v>
          </cell>
          <cell r="C131" t="str">
            <v>Trade Payables</v>
          </cell>
          <cell r="D131" t="str">
            <v>Trade Payables</v>
          </cell>
          <cell r="E131">
            <v>0</v>
          </cell>
          <cell r="F131">
            <v>0</v>
          </cell>
          <cell r="G131">
            <v>0</v>
          </cell>
          <cell r="H131">
            <v>0</v>
          </cell>
          <cell r="I131">
            <v>0</v>
          </cell>
          <cell r="J131">
            <v>0</v>
          </cell>
          <cell r="K131">
            <v>0</v>
          </cell>
          <cell r="L131">
            <v>0</v>
          </cell>
          <cell r="M131">
            <v>0</v>
          </cell>
          <cell r="N131">
            <v>174048</v>
          </cell>
          <cell r="O131">
            <v>0</v>
          </cell>
          <cell r="P131">
            <v>174048</v>
          </cell>
        </row>
        <row r="132">
          <cell r="A132" t="str">
            <v>CHANDRA SALES CORPORATION(SALE)</v>
          </cell>
          <cell r="B132">
            <v>15</v>
          </cell>
          <cell r="C132" t="str">
            <v>Trade Receivables</v>
          </cell>
          <cell r="D132" t="str">
            <v>Other Debts</v>
          </cell>
          <cell r="E132">
            <v>4304700</v>
          </cell>
          <cell r="F132">
            <v>0</v>
          </cell>
          <cell r="G132">
            <v>4304700</v>
          </cell>
          <cell r="H132">
            <v>0</v>
          </cell>
          <cell r="I132">
            <v>0</v>
          </cell>
          <cell r="J132">
            <v>0</v>
          </cell>
          <cell r="K132">
            <v>12547062</v>
          </cell>
          <cell r="L132">
            <v>0</v>
          </cell>
          <cell r="M132">
            <v>12547062</v>
          </cell>
          <cell r="N132">
            <v>0</v>
          </cell>
          <cell r="O132">
            <v>0</v>
          </cell>
          <cell r="P132">
            <v>0</v>
          </cell>
        </row>
        <row r="133">
          <cell r="A133" t="str">
            <v>Chargewave Energykem Pvt.Ltd.</v>
          </cell>
          <cell r="B133">
            <v>7</v>
          </cell>
          <cell r="C133" t="str">
            <v>Trade Payables</v>
          </cell>
          <cell r="D133" t="str">
            <v>Trade Payables - Others</v>
          </cell>
          <cell r="E133">
            <v>0</v>
          </cell>
          <cell r="F133">
            <v>0</v>
          </cell>
          <cell r="G133">
            <v>0</v>
          </cell>
          <cell r="H133">
            <v>0</v>
          </cell>
          <cell r="I133">
            <v>0</v>
          </cell>
          <cell r="J133">
            <v>0</v>
          </cell>
          <cell r="K133">
            <v>0</v>
          </cell>
          <cell r="L133">
            <v>0</v>
          </cell>
          <cell r="M133">
            <v>0</v>
          </cell>
          <cell r="N133">
            <v>0</v>
          </cell>
          <cell r="O133">
            <v>0</v>
          </cell>
          <cell r="P133">
            <v>0</v>
          </cell>
        </row>
        <row r="134">
          <cell r="A134" t="str">
            <v>Chemical Purchase</v>
          </cell>
          <cell r="B134">
            <v>22</v>
          </cell>
          <cell r="C134" t="str">
            <v>Raw Material Consumed</v>
          </cell>
          <cell r="D134" t="str">
            <v>Raw Material Purchase</v>
          </cell>
          <cell r="E134">
            <v>41533028.75</v>
          </cell>
          <cell r="F134">
            <v>0</v>
          </cell>
          <cell r="G134">
            <v>41533028.75</v>
          </cell>
          <cell r="H134">
            <v>0</v>
          </cell>
          <cell r="I134">
            <v>0</v>
          </cell>
          <cell r="J134">
            <v>0</v>
          </cell>
          <cell r="K134">
            <v>46318754.25</v>
          </cell>
          <cell r="L134">
            <v>0</v>
          </cell>
          <cell r="M134">
            <v>46318754.25</v>
          </cell>
          <cell r="N134">
            <v>0</v>
          </cell>
          <cell r="O134">
            <v>0</v>
          </cell>
          <cell r="P134">
            <v>0</v>
          </cell>
        </row>
        <row r="135">
          <cell r="A135" t="str">
            <v>Chowdhary Packagers</v>
          </cell>
          <cell r="B135">
            <v>15</v>
          </cell>
          <cell r="C135" t="str">
            <v>Trade Receivables</v>
          </cell>
          <cell r="D135" t="str">
            <v>Other Debts</v>
          </cell>
          <cell r="E135">
            <v>886060</v>
          </cell>
          <cell r="F135">
            <v>0</v>
          </cell>
          <cell r="G135">
            <v>886060</v>
          </cell>
          <cell r="H135">
            <v>0</v>
          </cell>
          <cell r="I135">
            <v>0</v>
          </cell>
          <cell r="J135">
            <v>0</v>
          </cell>
          <cell r="K135">
            <v>106645</v>
          </cell>
          <cell r="L135">
            <v>0</v>
          </cell>
          <cell r="M135">
            <v>106645</v>
          </cell>
          <cell r="N135">
            <v>0</v>
          </cell>
          <cell r="O135">
            <v>0</v>
          </cell>
          <cell r="P135">
            <v>0</v>
          </cell>
        </row>
        <row r="136">
          <cell r="A136" t="str">
            <v>Clean Energy Cess (Coal)</v>
          </cell>
          <cell r="B136">
            <v>26</v>
          </cell>
          <cell r="C136" t="str">
            <v>Other Expenses</v>
          </cell>
          <cell r="D136" t="str">
            <v>Manufacturing Expenses - Power &amp; Fuel Consumed</v>
          </cell>
          <cell r="E136">
            <v>0</v>
          </cell>
          <cell r="F136">
            <v>0</v>
          </cell>
          <cell r="G136">
            <v>0</v>
          </cell>
          <cell r="H136">
            <v>0</v>
          </cell>
          <cell r="I136">
            <v>0</v>
          </cell>
          <cell r="J136">
            <v>0</v>
          </cell>
          <cell r="K136">
            <v>0</v>
          </cell>
          <cell r="L136">
            <v>0</v>
          </cell>
          <cell r="M136">
            <v>0</v>
          </cell>
          <cell r="N136">
            <v>0</v>
          </cell>
          <cell r="O136">
            <v>0</v>
          </cell>
          <cell r="P136">
            <v>0</v>
          </cell>
        </row>
        <row r="137">
          <cell r="A137" t="str">
            <v>Clearing &amp; Forwarding on WP Import</v>
          </cell>
          <cell r="B137">
            <v>22</v>
          </cell>
          <cell r="C137" t="str">
            <v>Raw Material Consumed</v>
          </cell>
          <cell r="D137" t="str">
            <v>Raw Material Purchase</v>
          </cell>
          <cell r="E137">
            <v>48494308.600000001</v>
          </cell>
          <cell r="F137">
            <v>0</v>
          </cell>
          <cell r="G137">
            <v>48494308.600000001</v>
          </cell>
          <cell r="H137">
            <v>0</v>
          </cell>
          <cell r="I137">
            <v>0</v>
          </cell>
          <cell r="J137">
            <v>0</v>
          </cell>
          <cell r="K137">
            <v>36176357.159999996</v>
          </cell>
          <cell r="L137">
            <v>0</v>
          </cell>
          <cell r="M137">
            <v>36176357.159999996</v>
          </cell>
          <cell r="N137">
            <v>0</v>
          </cell>
          <cell r="O137">
            <v>0</v>
          </cell>
          <cell r="P137">
            <v>0</v>
          </cell>
        </row>
        <row r="138">
          <cell r="A138" t="str">
            <v>Clearing &amp; Fwd. Chgs.On Import M/C</v>
          </cell>
          <cell r="B138">
            <v>26</v>
          </cell>
          <cell r="C138" t="str">
            <v>Other Expenses</v>
          </cell>
          <cell r="D138" t="str">
            <v>Manufacturing Expenses-Repairs &amp; Maintainence Machinery</v>
          </cell>
          <cell r="E138">
            <v>219361</v>
          </cell>
          <cell r="F138">
            <v>0</v>
          </cell>
          <cell r="G138">
            <v>219361</v>
          </cell>
          <cell r="H138">
            <v>0</v>
          </cell>
          <cell r="I138">
            <v>0</v>
          </cell>
          <cell r="J138">
            <v>0</v>
          </cell>
          <cell r="K138">
            <v>281138</v>
          </cell>
          <cell r="L138">
            <v>0</v>
          </cell>
          <cell r="M138">
            <v>281138</v>
          </cell>
          <cell r="N138">
            <v>0</v>
          </cell>
          <cell r="O138">
            <v>0</v>
          </cell>
          <cell r="P138">
            <v>0</v>
          </cell>
        </row>
        <row r="139">
          <cell r="A139" t="str">
            <v>Coal Crusher &amp; Bunker Shed</v>
          </cell>
          <cell r="B139">
            <v>10</v>
          </cell>
          <cell r="C139" t="str">
            <v>Fixed Assets</v>
          </cell>
          <cell r="D139" t="str">
            <v>Tangible Asset</v>
          </cell>
          <cell r="E139">
            <v>0</v>
          </cell>
          <cell r="F139">
            <v>0</v>
          </cell>
          <cell r="G139">
            <v>0</v>
          </cell>
          <cell r="H139">
            <v>0</v>
          </cell>
          <cell r="I139">
            <v>0</v>
          </cell>
          <cell r="J139">
            <v>0</v>
          </cell>
          <cell r="K139">
            <v>0</v>
          </cell>
          <cell r="L139">
            <v>0</v>
          </cell>
          <cell r="M139">
            <v>0</v>
          </cell>
          <cell r="N139">
            <v>0</v>
          </cell>
          <cell r="O139">
            <v>0</v>
          </cell>
          <cell r="P139">
            <v>0</v>
          </cell>
        </row>
        <row r="140">
          <cell r="A140" t="str">
            <v>Coal Liasioning Charges</v>
          </cell>
          <cell r="B140">
            <v>26</v>
          </cell>
          <cell r="C140" t="str">
            <v>Other Expenses</v>
          </cell>
          <cell r="D140" t="str">
            <v>Manufacturing Expenses - Power &amp; Fuel Consumed</v>
          </cell>
          <cell r="E140">
            <v>923225</v>
          </cell>
          <cell r="F140">
            <v>0</v>
          </cell>
          <cell r="G140">
            <v>923225</v>
          </cell>
          <cell r="H140">
            <v>0</v>
          </cell>
          <cell r="I140">
            <v>0</v>
          </cell>
          <cell r="J140">
            <v>0</v>
          </cell>
          <cell r="K140">
            <v>539575</v>
          </cell>
          <cell r="L140">
            <v>0</v>
          </cell>
          <cell r="M140">
            <v>539575</v>
          </cell>
          <cell r="N140">
            <v>0</v>
          </cell>
          <cell r="O140">
            <v>0</v>
          </cell>
          <cell r="P140">
            <v>0</v>
          </cell>
        </row>
        <row r="141">
          <cell r="A141" t="str">
            <v>Coal Purchase</v>
          </cell>
          <cell r="B141">
            <v>26</v>
          </cell>
          <cell r="C141" t="str">
            <v>Other Expenses</v>
          </cell>
          <cell r="D141" t="str">
            <v>Manufacturing Expenses - Power &amp; Fuel Consumed</v>
          </cell>
          <cell r="E141">
            <v>44460025.039999999</v>
          </cell>
          <cell r="F141">
            <v>0</v>
          </cell>
          <cell r="G141">
            <v>44460025.039999999</v>
          </cell>
          <cell r="H141">
            <v>0</v>
          </cell>
          <cell r="I141">
            <v>0</v>
          </cell>
          <cell r="J141">
            <v>0</v>
          </cell>
          <cell r="K141">
            <v>46577347</v>
          </cell>
          <cell r="L141">
            <v>0</v>
          </cell>
          <cell r="M141">
            <v>46577347</v>
          </cell>
          <cell r="N141">
            <v>0</v>
          </cell>
          <cell r="O141">
            <v>0</v>
          </cell>
          <cell r="P141">
            <v>0</v>
          </cell>
        </row>
        <row r="142">
          <cell r="A142" t="str">
            <v>COMMISSION ON SALES (HSN/SAC : 9961)</v>
          </cell>
          <cell r="B142">
            <v>26</v>
          </cell>
          <cell r="C142" t="str">
            <v>Other Expenses</v>
          </cell>
          <cell r="D142" t="str">
            <v>Selling &amp; Dist.-Discount &amp; Commission</v>
          </cell>
          <cell r="E142">
            <v>1723504</v>
          </cell>
          <cell r="F142">
            <v>0</v>
          </cell>
          <cell r="G142">
            <v>1723504</v>
          </cell>
          <cell r="H142">
            <v>0</v>
          </cell>
          <cell r="I142">
            <v>0</v>
          </cell>
          <cell r="J142">
            <v>0</v>
          </cell>
          <cell r="K142">
            <v>3396669</v>
          </cell>
          <cell r="L142">
            <v>0</v>
          </cell>
          <cell r="M142">
            <v>3396669</v>
          </cell>
          <cell r="N142">
            <v>0</v>
          </cell>
          <cell r="O142">
            <v>0</v>
          </cell>
          <cell r="P142">
            <v>0</v>
          </cell>
        </row>
        <row r="143">
          <cell r="A143" t="str">
            <v>Export Expenses for Clearing &amp; Forwarding</v>
          </cell>
          <cell r="B143">
            <v>26</v>
          </cell>
          <cell r="C143" t="str">
            <v>Other Expenses</v>
          </cell>
          <cell r="D143" t="str">
            <v>Selling &amp; Dist.-Discount &amp; Commission</v>
          </cell>
          <cell r="E143">
            <v>491501</v>
          </cell>
          <cell r="F143">
            <v>0</v>
          </cell>
          <cell r="G143">
            <v>491501</v>
          </cell>
          <cell r="H143">
            <v>0</v>
          </cell>
          <cell r="I143">
            <v>0</v>
          </cell>
          <cell r="J143">
            <v>0</v>
          </cell>
          <cell r="K143">
            <v>0</v>
          </cell>
          <cell r="L143">
            <v>0</v>
          </cell>
          <cell r="M143">
            <v>0</v>
          </cell>
          <cell r="N143">
            <v>0</v>
          </cell>
          <cell r="O143">
            <v>0</v>
          </cell>
          <cell r="P143">
            <v>0</v>
          </cell>
        </row>
        <row r="144">
          <cell r="A144" t="str">
            <v>Commission On Sales Account</v>
          </cell>
          <cell r="B144">
            <v>26</v>
          </cell>
          <cell r="C144" t="str">
            <v>Other Expenses</v>
          </cell>
          <cell r="D144" t="str">
            <v>Selling &amp; Dist.-Discount &amp; Commission</v>
          </cell>
          <cell r="E144">
            <v>38030</v>
          </cell>
          <cell r="F144">
            <v>0</v>
          </cell>
          <cell r="G144">
            <v>38030</v>
          </cell>
          <cell r="H144">
            <v>0</v>
          </cell>
          <cell r="I144">
            <v>0</v>
          </cell>
          <cell r="J144">
            <v>0</v>
          </cell>
          <cell r="K144">
            <v>0</v>
          </cell>
          <cell r="L144">
            <v>0</v>
          </cell>
          <cell r="M144">
            <v>0</v>
          </cell>
          <cell r="N144">
            <v>0</v>
          </cell>
          <cell r="O144">
            <v>0</v>
          </cell>
          <cell r="P144">
            <v>0</v>
          </cell>
        </row>
        <row r="145">
          <cell r="A145" t="str">
            <v>COMPAC INDUSTRIES</v>
          </cell>
          <cell r="B145">
            <v>15</v>
          </cell>
          <cell r="C145" t="str">
            <v>Trade Receivables</v>
          </cell>
          <cell r="D145" t="str">
            <v>Other Debts</v>
          </cell>
          <cell r="E145">
            <v>0</v>
          </cell>
          <cell r="F145">
            <v>0</v>
          </cell>
          <cell r="G145">
            <v>0</v>
          </cell>
          <cell r="H145">
            <v>0</v>
          </cell>
          <cell r="I145">
            <v>0</v>
          </cell>
          <cell r="J145">
            <v>0</v>
          </cell>
          <cell r="K145">
            <v>0</v>
          </cell>
          <cell r="L145">
            <v>0</v>
          </cell>
          <cell r="M145">
            <v>0</v>
          </cell>
          <cell r="N145">
            <v>0</v>
          </cell>
          <cell r="O145">
            <v>0</v>
          </cell>
          <cell r="P145">
            <v>0</v>
          </cell>
        </row>
        <row r="146">
          <cell r="A146" t="str">
            <v>Compound Wall with Gate</v>
          </cell>
          <cell r="B146">
            <v>10</v>
          </cell>
          <cell r="C146" t="str">
            <v>Fixed Assets</v>
          </cell>
          <cell r="D146" t="str">
            <v>Tangible Asset</v>
          </cell>
          <cell r="E146">
            <v>0</v>
          </cell>
          <cell r="F146">
            <v>0</v>
          </cell>
          <cell r="G146">
            <v>0</v>
          </cell>
          <cell r="H146">
            <v>0</v>
          </cell>
          <cell r="I146">
            <v>0</v>
          </cell>
          <cell r="J146">
            <v>0</v>
          </cell>
          <cell r="K146">
            <v>0</v>
          </cell>
          <cell r="L146">
            <v>0</v>
          </cell>
          <cell r="M146">
            <v>0</v>
          </cell>
          <cell r="N146">
            <v>0</v>
          </cell>
          <cell r="O146">
            <v>0</v>
          </cell>
          <cell r="P146">
            <v>0</v>
          </cell>
        </row>
        <row r="147">
          <cell r="A147" t="str">
            <v>Computer</v>
          </cell>
          <cell r="B147">
            <v>10</v>
          </cell>
          <cell r="C147" t="str">
            <v>Fixed Assets</v>
          </cell>
          <cell r="D147" t="str">
            <v>Tangible Asset</v>
          </cell>
          <cell r="E147">
            <v>1057200.7</v>
          </cell>
          <cell r="F147">
            <v>0</v>
          </cell>
          <cell r="G147">
            <v>1057200.7</v>
          </cell>
          <cell r="H147">
            <v>0</v>
          </cell>
          <cell r="I147">
            <v>0</v>
          </cell>
          <cell r="J147">
            <v>0</v>
          </cell>
          <cell r="K147">
            <v>1057200.7</v>
          </cell>
          <cell r="L147">
            <v>0</v>
          </cell>
          <cell r="M147">
            <v>1057200.7</v>
          </cell>
          <cell r="N147">
            <v>0</v>
          </cell>
          <cell r="O147">
            <v>0</v>
          </cell>
          <cell r="P147">
            <v>0</v>
          </cell>
        </row>
        <row r="148">
          <cell r="A148" t="str">
            <v>Consultation Charges</v>
          </cell>
          <cell r="B148">
            <v>26</v>
          </cell>
          <cell r="C148" t="str">
            <v>Other Expenses</v>
          </cell>
          <cell r="D148" t="str">
            <v>Establishment Expenses-Legal &amp; Professional Charges</v>
          </cell>
          <cell r="E148">
            <v>7000</v>
          </cell>
          <cell r="F148">
            <v>0</v>
          </cell>
          <cell r="G148">
            <v>7000</v>
          </cell>
          <cell r="H148">
            <v>0</v>
          </cell>
          <cell r="I148">
            <v>0</v>
          </cell>
          <cell r="J148">
            <v>0</v>
          </cell>
          <cell r="K148">
            <v>71000</v>
          </cell>
          <cell r="L148">
            <v>0</v>
          </cell>
          <cell r="M148">
            <v>71000</v>
          </cell>
          <cell r="N148">
            <v>0</v>
          </cell>
          <cell r="O148">
            <v>0</v>
          </cell>
          <cell r="P148">
            <v>0</v>
          </cell>
        </row>
        <row r="149">
          <cell r="A149" t="str">
            <v>CONTAINER CORPORATION OF INDIA LTD</v>
          </cell>
          <cell r="B149">
            <v>17</v>
          </cell>
          <cell r="C149" t="str">
            <v>Short Term Loans &amp; Advances</v>
          </cell>
          <cell r="D149" t="str">
            <v>Advance to Suppliers</v>
          </cell>
          <cell r="E149">
            <v>42915.89</v>
          </cell>
          <cell r="F149">
            <v>0</v>
          </cell>
          <cell r="G149">
            <v>42915.89</v>
          </cell>
          <cell r="H149">
            <v>0</v>
          </cell>
          <cell r="I149">
            <v>0</v>
          </cell>
          <cell r="J149">
            <v>0</v>
          </cell>
          <cell r="K149">
            <v>42915.89</v>
          </cell>
          <cell r="L149">
            <v>0</v>
          </cell>
          <cell r="M149">
            <v>42915.89</v>
          </cell>
          <cell r="N149">
            <v>0</v>
          </cell>
          <cell r="O149">
            <v>0</v>
          </cell>
          <cell r="P149">
            <v>0</v>
          </cell>
        </row>
        <row r="150">
          <cell r="A150" t="str">
            <v>Contribution to ESIC Payable</v>
          </cell>
          <cell r="B150">
            <v>8</v>
          </cell>
          <cell r="C150" t="str">
            <v>Other Current Liabilities</v>
          </cell>
          <cell r="D150" t="str">
            <v>Statutory Dues</v>
          </cell>
          <cell r="E150">
            <v>0</v>
          </cell>
          <cell r="F150">
            <v>0</v>
          </cell>
          <cell r="G150">
            <v>0</v>
          </cell>
          <cell r="H150">
            <v>21838</v>
          </cell>
          <cell r="I150">
            <v>0</v>
          </cell>
          <cell r="J150">
            <v>21838</v>
          </cell>
          <cell r="K150">
            <v>0</v>
          </cell>
          <cell r="L150">
            <v>0</v>
          </cell>
          <cell r="M150">
            <v>0</v>
          </cell>
          <cell r="N150">
            <v>34626</v>
          </cell>
          <cell r="O150">
            <v>0</v>
          </cell>
          <cell r="P150">
            <v>34626</v>
          </cell>
        </row>
        <row r="151">
          <cell r="A151" t="str">
            <v>Contribution To P.F. Payable</v>
          </cell>
          <cell r="B151">
            <v>8</v>
          </cell>
          <cell r="C151" t="str">
            <v>Other Current Liabilities</v>
          </cell>
          <cell r="D151" t="str">
            <v>Statutory Dues</v>
          </cell>
          <cell r="E151">
            <v>0</v>
          </cell>
          <cell r="F151">
            <v>0</v>
          </cell>
          <cell r="G151">
            <v>0</v>
          </cell>
          <cell r="H151">
            <v>184366</v>
          </cell>
          <cell r="I151">
            <v>0</v>
          </cell>
          <cell r="J151">
            <v>184366</v>
          </cell>
          <cell r="K151">
            <v>0</v>
          </cell>
          <cell r="L151">
            <v>0</v>
          </cell>
          <cell r="M151">
            <v>0</v>
          </cell>
          <cell r="N151">
            <v>186660</v>
          </cell>
          <cell r="O151">
            <v>0</v>
          </cell>
          <cell r="P151">
            <v>186660</v>
          </cell>
        </row>
        <row r="152">
          <cell r="A152" t="str">
            <v>Conveyance Expenses</v>
          </cell>
          <cell r="B152">
            <v>26</v>
          </cell>
          <cell r="C152" t="str">
            <v>Other Expenses</v>
          </cell>
          <cell r="D152" t="str">
            <v>Establishment Expenses-Travelling &amp; Conveyance</v>
          </cell>
          <cell r="E152">
            <v>28640</v>
          </cell>
          <cell r="F152">
            <v>0</v>
          </cell>
          <cell r="G152">
            <v>28640</v>
          </cell>
          <cell r="H152">
            <v>0</v>
          </cell>
          <cell r="I152">
            <v>0</v>
          </cell>
          <cell r="J152">
            <v>0</v>
          </cell>
          <cell r="K152">
            <v>52350</v>
          </cell>
          <cell r="L152">
            <v>0</v>
          </cell>
          <cell r="M152">
            <v>52350</v>
          </cell>
          <cell r="N152">
            <v>0</v>
          </cell>
          <cell r="O152">
            <v>0</v>
          </cell>
          <cell r="P152">
            <v>0</v>
          </cell>
        </row>
        <row r="153">
          <cell r="A153" t="str">
            <v>Conveyance To Directors</v>
          </cell>
          <cell r="B153">
            <v>26</v>
          </cell>
          <cell r="C153" t="str">
            <v>Other Expenses</v>
          </cell>
          <cell r="D153" t="str">
            <v>Establishment Expenses-Travelling &amp; Conveyance</v>
          </cell>
          <cell r="E153">
            <v>45845</v>
          </cell>
          <cell r="F153">
            <v>0</v>
          </cell>
          <cell r="G153">
            <v>45845</v>
          </cell>
          <cell r="H153">
            <v>0</v>
          </cell>
          <cell r="I153">
            <v>0</v>
          </cell>
          <cell r="J153">
            <v>0</v>
          </cell>
          <cell r="K153">
            <v>66840</v>
          </cell>
          <cell r="L153">
            <v>0</v>
          </cell>
          <cell r="M153">
            <v>66840</v>
          </cell>
          <cell r="N153">
            <v>0</v>
          </cell>
          <cell r="O153">
            <v>0</v>
          </cell>
          <cell r="P153">
            <v>0</v>
          </cell>
        </row>
        <row r="154">
          <cell r="A154" t="str">
            <v>Courier &amp; Postage Charges</v>
          </cell>
          <cell r="B154">
            <v>26</v>
          </cell>
          <cell r="C154" t="str">
            <v>Other Expenses</v>
          </cell>
          <cell r="D154" t="str">
            <v>Establishment Expenses-General Expenses</v>
          </cell>
          <cell r="E154">
            <v>60454</v>
          </cell>
          <cell r="F154">
            <v>0</v>
          </cell>
          <cell r="G154">
            <v>60454</v>
          </cell>
          <cell r="H154">
            <v>0</v>
          </cell>
          <cell r="I154">
            <v>0</v>
          </cell>
          <cell r="J154">
            <v>0</v>
          </cell>
          <cell r="K154">
            <v>78396.600000000006</v>
          </cell>
          <cell r="L154">
            <v>0</v>
          </cell>
          <cell r="M154">
            <v>78396.600000000006</v>
          </cell>
          <cell r="N154">
            <v>0</v>
          </cell>
          <cell r="O154">
            <v>0</v>
          </cell>
          <cell r="P154">
            <v>0</v>
          </cell>
        </row>
        <row r="155">
          <cell r="A155" t="str">
            <v>CST on Imported OCC Purchase</v>
          </cell>
          <cell r="B155">
            <v>22</v>
          </cell>
          <cell r="C155" t="str">
            <v>Raw Material Consumed</v>
          </cell>
          <cell r="D155" t="str">
            <v>Raw Material Purchase</v>
          </cell>
          <cell r="E155">
            <v>0</v>
          </cell>
          <cell r="F155">
            <v>0</v>
          </cell>
          <cell r="G155">
            <v>0</v>
          </cell>
          <cell r="H155">
            <v>0</v>
          </cell>
          <cell r="I155">
            <v>0</v>
          </cell>
          <cell r="J155">
            <v>0</v>
          </cell>
          <cell r="K155">
            <v>0</v>
          </cell>
          <cell r="L155">
            <v>0</v>
          </cell>
          <cell r="M155">
            <v>0</v>
          </cell>
          <cell r="N155">
            <v>0</v>
          </cell>
          <cell r="O155">
            <v>0</v>
          </cell>
          <cell r="P155">
            <v>0</v>
          </cell>
        </row>
        <row r="156">
          <cell r="A156" t="str">
            <v>CST on Rep &amp; Maint.to Machinery</v>
          </cell>
          <cell r="B156">
            <v>26</v>
          </cell>
          <cell r="C156" t="str">
            <v>Other Expenses</v>
          </cell>
          <cell r="D156" t="str">
            <v>Manufacturing Expenses-Repairs &amp; Maintainence Machinery</v>
          </cell>
          <cell r="E156">
            <v>0</v>
          </cell>
          <cell r="F156">
            <v>0</v>
          </cell>
          <cell r="G156">
            <v>0</v>
          </cell>
          <cell r="H156">
            <v>0</v>
          </cell>
          <cell r="I156">
            <v>0</v>
          </cell>
          <cell r="J156">
            <v>0</v>
          </cell>
          <cell r="K156">
            <v>0</v>
          </cell>
          <cell r="L156">
            <v>0</v>
          </cell>
          <cell r="M156">
            <v>0</v>
          </cell>
          <cell r="N156">
            <v>0</v>
          </cell>
          <cell r="O156">
            <v>0</v>
          </cell>
          <cell r="P156">
            <v>0</v>
          </cell>
        </row>
        <row r="157">
          <cell r="A157" t="str">
            <v>Cst On Store Purchase</v>
          </cell>
          <cell r="B157">
            <v>26</v>
          </cell>
          <cell r="C157" t="str">
            <v>Other Expenses</v>
          </cell>
          <cell r="D157" t="str">
            <v>Manufacturing Expenses - Stores &amp; Spares Consumed</v>
          </cell>
          <cell r="E157">
            <v>0</v>
          </cell>
          <cell r="F157">
            <v>0</v>
          </cell>
          <cell r="G157">
            <v>0</v>
          </cell>
          <cell r="H157">
            <v>0</v>
          </cell>
          <cell r="I157">
            <v>0</v>
          </cell>
          <cell r="J157">
            <v>0</v>
          </cell>
          <cell r="K157">
            <v>0</v>
          </cell>
          <cell r="L157">
            <v>0</v>
          </cell>
          <cell r="M157">
            <v>0</v>
          </cell>
          <cell r="N157">
            <v>0</v>
          </cell>
          <cell r="O157">
            <v>0</v>
          </cell>
          <cell r="P157">
            <v>0</v>
          </cell>
        </row>
        <row r="158">
          <cell r="A158" t="str">
            <v>CST Payable  (F.Y. 2016- 17 )</v>
          </cell>
          <cell r="B158">
            <v>12</v>
          </cell>
          <cell r="C158" t="str">
            <v>Long Term Loans &amp; Advances</v>
          </cell>
          <cell r="D158" t="str">
            <v>Balance with Government Authorities</v>
          </cell>
          <cell r="E158">
            <v>0</v>
          </cell>
          <cell r="F158">
            <v>0</v>
          </cell>
          <cell r="G158">
            <v>0</v>
          </cell>
          <cell r="H158">
            <v>0</v>
          </cell>
          <cell r="I158">
            <v>0</v>
          </cell>
          <cell r="J158">
            <v>0</v>
          </cell>
          <cell r="K158">
            <v>2500</v>
          </cell>
          <cell r="L158">
            <v>0</v>
          </cell>
          <cell r="M158">
            <v>2500</v>
          </cell>
          <cell r="N158">
            <v>0</v>
          </cell>
          <cell r="O158">
            <v>0</v>
          </cell>
          <cell r="P158">
            <v>0</v>
          </cell>
        </row>
        <row r="159">
          <cell r="A159" t="str">
            <v>VAT (Earlier Tax Paid ) F.Y. 16-17</v>
          </cell>
          <cell r="B159">
            <v>12</v>
          </cell>
          <cell r="C159" t="str">
            <v>Long Term Loans &amp; Advances</v>
          </cell>
          <cell r="D159" t="str">
            <v>Balance with Government Authorities</v>
          </cell>
          <cell r="E159">
            <v>13978.36</v>
          </cell>
          <cell r="F159">
            <v>0</v>
          </cell>
          <cell r="G159">
            <v>13978.36</v>
          </cell>
          <cell r="H159">
            <v>0</v>
          </cell>
          <cell r="I159">
            <v>0</v>
          </cell>
          <cell r="J159">
            <v>0</v>
          </cell>
          <cell r="K159">
            <v>0</v>
          </cell>
          <cell r="L159">
            <v>0</v>
          </cell>
          <cell r="M159">
            <v>0</v>
          </cell>
          <cell r="N159">
            <v>0</v>
          </cell>
          <cell r="O159">
            <v>0</v>
          </cell>
          <cell r="P159">
            <v>0</v>
          </cell>
        </row>
        <row r="160">
          <cell r="A160" t="str">
            <v>VAT (Earlier Tax Paid ) F.Y. 17-18</v>
          </cell>
          <cell r="B160">
            <v>12</v>
          </cell>
          <cell r="C160" t="str">
            <v>Long Term Loans &amp; Advances</v>
          </cell>
          <cell r="D160" t="str">
            <v>Balance with Government Authorities</v>
          </cell>
          <cell r="E160">
            <v>10451</v>
          </cell>
          <cell r="F160">
            <v>0</v>
          </cell>
          <cell r="G160">
            <v>10451</v>
          </cell>
          <cell r="H160">
            <v>0</v>
          </cell>
          <cell r="I160">
            <v>0</v>
          </cell>
          <cell r="J160">
            <v>0</v>
          </cell>
          <cell r="K160">
            <v>0</v>
          </cell>
          <cell r="L160">
            <v>0</v>
          </cell>
          <cell r="M160">
            <v>0</v>
          </cell>
          <cell r="N160">
            <v>0</v>
          </cell>
          <cell r="O160">
            <v>0</v>
          </cell>
          <cell r="P160">
            <v>0</v>
          </cell>
        </row>
        <row r="161">
          <cell r="A161" t="str">
            <v>Cst Tax @2 %</v>
          </cell>
          <cell r="B161">
            <v>19</v>
          </cell>
          <cell r="C161" t="str">
            <v>Revenue From Operations</v>
          </cell>
          <cell r="D161" t="str">
            <v>Sale of Goods - Manufacturing Sales</v>
          </cell>
          <cell r="E161">
            <v>0</v>
          </cell>
          <cell r="F161">
            <v>0</v>
          </cell>
          <cell r="G161">
            <v>0</v>
          </cell>
          <cell r="H161">
            <v>0</v>
          </cell>
          <cell r="I161">
            <v>0</v>
          </cell>
          <cell r="J161">
            <v>0</v>
          </cell>
          <cell r="K161">
            <v>0</v>
          </cell>
          <cell r="L161">
            <v>0</v>
          </cell>
          <cell r="M161">
            <v>0</v>
          </cell>
          <cell r="N161">
            <v>0</v>
          </cell>
          <cell r="O161">
            <v>0</v>
          </cell>
          <cell r="P161">
            <v>0</v>
          </cell>
        </row>
        <row r="162">
          <cell r="A162" t="str">
            <v>EXPORT SALE</v>
          </cell>
          <cell r="B162">
            <v>19</v>
          </cell>
          <cell r="C162" t="str">
            <v>Revenue From Operations</v>
          </cell>
          <cell r="D162" t="str">
            <v>Sale of Goods - Manufacturing Sales</v>
          </cell>
          <cell r="E162">
            <v>0</v>
          </cell>
          <cell r="F162">
            <v>0</v>
          </cell>
          <cell r="G162">
            <v>0</v>
          </cell>
          <cell r="H162">
            <v>10652264</v>
          </cell>
          <cell r="I162">
            <v>0</v>
          </cell>
          <cell r="J162">
            <v>10652264</v>
          </cell>
          <cell r="K162">
            <v>0</v>
          </cell>
          <cell r="L162">
            <v>0</v>
          </cell>
          <cell r="M162">
            <v>0</v>
          </cell>
          <cell r="N162">
            <v>0</v>
          </cell>
          <cell r="O162">
            <v>0</v>
          </cell>
          <cell r="P162">
            <v>0</v>
          </cell>
        </row>
        <row r="163">
          <cell r="A163" t="str">
            <v>Cst Tax Expenses</v>
          </cell>
          <cell r="B163">
            <v>19</v>
          </cell>
          <cell r="C163" t="str">
            <v>Revenue From Operations</v>
          </cell>
          <cell r="D163" t="str">
            <v>Sales Tax</v>
          </cell>
          <cell r="E163">
            <v>2500</v>
          </cell>
          <cell r="F163">
            <v>0</v>
          </cell>
          <cell r="G163">
            <v>2500</v>
          </cell>
          <cell r="H163">
            <v>0</v>
          </cell>
          <cell r="I163">
            <v>0</v>
          </cell>
          <cell r="J163">
            <v>0</v>
          </cell>
          <cell r="K163">
            <v>0</v>
          </cell>
          <cell r="L163">
            <v>0</v>
          </cell>
          <cell r="M163">
            <v>0</v>
          </cell>
          <cell r="N163">
            <v>0</v>
          </cell>
          <cell r="O163">
            <v>0</v>
          </cell>
          <cell r="P163">
            <v>0</v>
          </cell>
        </row>
        <row r="164">
          <cell r="A164" t="str">
            <v>CST Waste Paper Purchase</v>
          </cell>
          <cell r="B164">
            <v>22</v>
          </cell>
          <cell r="C164" t="str">
            <v>Raw Material Consumed</v>
          </cell>
          <cell r="D164" t="str">
            <v>Raw Material Purchase</v>
          </cell>
          <cell r="E164">
            <v>0</v>
          </cell>
          <cell r="F164">
            <v>0</v>
          </cell>
          <cell r="G164">
            <v>0</v>
          </cell>
          <cell r="H164">
            <v>0</v>
          </cell>
          <cell r="I164">
            <v>0</v>
          </cell>
          <cell r="J164">
            <v>0</v>
          </cell>
          <cell r="K164">
            <v>0</v>
          </cell>
          <cell r="L164">
            <v>0</v>
          </cell>
          <cell r="M164">
            <v>0</v>
          </cell>
          <cell r="N164">
            <v>0</v>
          </cell>
          <cell r="O164">
            <v>0</v>
          </cell>
          <cell r="P164">
            <v>0</v>
          </cell>
        </row>
        <row r="165">
          <cell r="A165" t="str">
            <v>Custom Duty A/C.</v>
          </cell>
          <cell r="B165">
            <v>22</v>
          </cell>
          <cell r="C165" t="str">
            <v>Raw Material Consumed</v>
          </cell>
          <cell r="D165" t="str">
            <v>Raw Material Purchase</v>
          </cell>
          <cell r="E165">
            <v>0</v>
          </cell>
          <cell r="F165">
            <v>0</v>
          </cell>
          <cell r="G165">
            <v>0</v>
          </cell>
          <cell r="H165">
            <v>0</v>
          </cell>
          <cell r="I165">
            <v>0</v>
          </cell>
          <cell r="J165">
            <v>0</v>
          </cell>
          <cell r="K165">
            <v>0</v>
          </cell>
          <cell r="L165">
            <v>0</v>
          </cell>
          <cell r="M165">
            <v>0</v>
          </cell>
          <cell r="N165">
            <v>0</v>
          </cell>
          <cell r="O165">
            <v>0</v>
          </cell>
          <cell r="P165">
            <v>0</v>
          </cell>
        </row>
        <row r="166">
          <cell r="A166" t="str">
            <v>Daga Chemicals P. Ltd., Mumbai</v>
          </cell>
          <cell r="B166">
            <v>7</v>
          </cell>
          <cell r="C166" t="str">
            <v>Trade Payables</v>
          </cell>
          <cell r="D166" t="str">
            <v>Trade Payables</v>
          </cell>
          <cell r="E166">
            <v>0</v>
          </cell>
          <cell r="F166">
            <v>0</v>
          </cell>
          <cell r="G166">
            <v>0</v>
          </cell>
          <cell r="H166">
            <v>0</v>
          </cell>
          <cell r="I166">
            <v>0</v>
          </cell>
          <cell r="J166">
            <v>0</v>
          </cell>
          <cell r="K166">
            <v>0</v>
          </cell>
          <cell r="L166">
            <v>0</v>
          </cell>
          <cell r="M166">
            <v>0</v>
          </cell>
          <cell r="N166">
            <v>0</v>
          </cell>
          <cell r="O166">
            <v>0</v>
          </cell>
          <cell r="P166">
            <v>0</v>
          </cell>
        </row>
        <row r="167">
          <cell r="A167" t="str">
            <v>Dandong Shengxing Paper Machinery, China</v>
          </cell>
          <cell r="B167">
            <v>17</v>
          </cell>
          <cell r="C167" t="str">
            <v>Short Term Loans &amp; Advances</v>
          </cell>
          <cell r="D167" t="str">
            <v>Advance to Suppliers</v>
          </cell>
          <cell r="E167">
            <v>0</v>
          </cell>
          <cell r="F167">
            <v>0</v>
          </cell>
          <cell r="G167">
            <v>0</v>
          </cell>
          <cell r="H167">
            <v>0</v>
          </cell>
          <cell r="I167">
            <v>0</v>
          </cell>
          <cell r="J167">
            <v>0</v>
          </cell>
          <cell r="K167">
            <v>1240241</v>
          </cell>
          <cell r="L167">
            <v>0</v>
          </cell>
          <cell r="M167">
            <v>1240241</v>
          </cell>
          <cell r="N167">
            <v>0</v>
          </cell>
          <cell r="O167">
            <v>0</v>
          </cell>
          <cell r="P167">
            <v>0</v>
          </cell>
        </row>
        <row r="168">
          <cell r="A168" t="str">
            <v>Deekay &amp; Company</v>
          </cell>
          <cell r="B168">
            <v>7</v>
          </cell>
          <cell r="C168" t="str">
            <v>Trade Payables</v>
          </cell>
          <cell r="D168" t="str">
            <v>Trade Payables</v>
          </cell>
          <cell r="E168">
            <v>0</v>
          </cell>
          <cell r="F168">
            <v>0</v>
          </cell>
          <cell r="G168">
            <v>0</v>
          </cell>
          <cell r="H168">
            <v>2430503</v>
          </cell>
          <cell r="I168">
            <v>0</v>
          </cell>
          <cell r="J168">
            <v>2430503</v>
          </cell>
          <cell r="K168">
            <v>0</v>
          </cell>
          <cell r="L168">
            <v>0</v>
          </cell>
          <cell r="M168">
            <v>0</v>
          </cell>
          <cell r="N168">
            <v>0</v>
          </cell>
          <cell r="O168">
            <v>0</v>
          </cell>
          <cell r="P168">
            <v>0</v>
          </cell>
        </row>
        <row r="169">
          <cell r="A169" t="str">
            <v>Deep Diesel , Nagpur</v>
          </cell>
          <cell r="B169">
            <v>7</v>
          </cell>
          <cell r="C169" t="str">
            <v>Trade Payables</v>
          </cell>
          <cell r="D169" t="str">
            <v>Trade Payables</v>
          </cell>
          <cell r="E169">
            <v>0</v>
          </cell>
          <cell r="F169">
            <v>0</v>
          </cell>
          <cell r="G169">
            <v>0</v>
          </cell>
          <cell r="H169">
            <v>0</v>
          </cell>
          <cell r="I169">
            <v>0</v>
          </cell>
          <cell r="J169">
            <v>0</v>
          </cell>
          <cell r="K169">
            <v>0</v>
          </cell>
          <cell r="L169">
            <v>0</v>
          </cell>
          <cell r="M169">
            <v>0</v>
          </cell>
          <cell r="N169">
            <v>0</v>
          </cell>
          <cell r="O169">
            <v>0</v>
          </cell>
          <cell r="P169">
            <v>0</v>
          </cell>
        </row>
        <row r="170">
          <cell r="A170" t="str">
            <v>DEEP SALES CORPORATION</v>
          </cell>
          <cell r="B170">
            <v>15</v>
          </cell>
          <cell r="C170" t="str">
            <v>Trade Receivables</v>
          </cell>
          <cell r="D170" t="str">
            <v>Other Debts</v>
          </cell>
          <cell r="E170">
            <v>0</v>
          </cell>
          <cell r="F170">
            <v>0</v>
          </cell>
          <cell r="G170">
            <v>0</v>
          </cell>
          <cell r="H170">
            <v>0</v>
          </cell>
          <cell r="I170">
            <v>0</v>
          </cell>
          <cell r="J170">
            <v>0</v>
          </cell>
          <cell r="K170">
            <v>1730730</v>
          </cell>
          <cell r="L170">
            <v>0</v>
          </cell>
          <cell r="M170">
            <v>1730730</v>
          </cell>
          <cell r="N170">
            <v>0</v>
          </cell>
          <cell r="O170">
            <v>0</v>
          </cell>
          <cell r="P170">
            <v>0</v>
          </cell>
        </row>
        <row r="171">
          <cell r="A171" t="str">
            <v>Deepak Sales</v>
          </cell>
          <cell r="B171">
            <v>7</v>
          </cell>
          <cell r="C171" t="str">
            <v>Trade Payables</v>
          </cell>
          <cell r="D171" t="str">
            <v>Trade Payables</v>
          </cell>
          <cell r="E171">
            <v>0</v>
          </cell>
          <cell r="F171">
            <v>0</v>
          </cell>
          <cell r="G171">
            <v>0</v>
          </cell>
          <cell r="H171">
            <v>0</v>
          </cell>
          <cell r="I171">
            <v>0</v>
          </cell>
          <cell r="J171">
            <v>0</v>
          </cell>
          <cell r="K171">
            <v>0</v>
          </cell>
          <cell r="L171">
            <v>0</v>
          </cell>
          <cell r="M171">
            <v>0</v>
          </cell>
          <cell r="N171">
            <v>0</v>
          </cell>
          <cell r="O171">
            <v>0</v>
          </cell>
          <cell r="P171">
            <v>0</v>
          </cell>
        </row>
        <row r="172">
          <cell r="A172" t="str">
            <v>Deferred Tax Liabilities (Net)</v>
          </cell>
          <cell r="B172">
            <v>5</v>
          </cell>
          <cell r="C172" t="str">
            <v xml:space="preserve">Deferred Tax Liabilities </v>
          </cell>
          <cell r="D172" t="str">
            <v>Deferred Tax Liability</v>
          </cell>
          <cell r="E172">
            <v>0</v>
          </cell>
          <cell r="F172">
            <v>0</v>
          </cell>
          <cell r="G172">
            <v>0</v>
          </cell>
          <cell r="H172">
            <v>20113961</v>
          </cell>
          <cell r="I172">
            <v>0</v>
          </cell>
          <cell r="J172">
            <v>20113961</v>
          </cell>
          <cell r="K172">
            <v>0</v>
          </cell>
          <cell r="L172">
            <v>0</v>
          </cell>
          <cell r="M172">
            <v>0</v>
          </cell>
          <cell r="N172">
            <v>24184943</v>
          </cell>
          <cell r="O172">
            <v>0</v>
          </cell>
          <cell r="P172">
            <v>24184943</v>
          </cell>
        </row>
        <row r="173">
          <cell r="A173" t="str">
            <v>Demate Processing Charges</v>
          </cell>
          <cell r="B173">
            <v>26</v>
          </cell>
          <cell r="C173" t="str">
            <v>Other Expenses</v>
          </cell>
          <cell r="D173" t="str">
            <v>Establishment Expenses-Bank Charges</v>
          </cell>
          <cell r="E173">
            <v>0</v>
          </cell>
          <cell r="F173">
            <v>0</v>
          </cell>
          <cell r="G173">
            <v>0</v>
          </cell>
          <cell r="H173">
            <v>0</v>
          </cell>
          <cell r="I173">
            <v>0</v>
          </cell>
          <cell r="J173">
            <v>0</v>
          </cell>
          <cell r="K173">
            <v>0</v>
          </cell>
          <cell r="L173">
            <v>0</v>
          </cell>
          <cell r="M173">
            <v>0</v>
          </cell>
          <cell r="N173">
            <v>0</v>
          </cell>
          <cell r="O173">
            <v>0</v>
          </cell>
          <cell r="P173">
            <v>0</v>
          </cell>
        </row>
        <row r="174">
          <cell r="A174" t="str">
            <v>Deposit with M.S.E.B.</v>
          </cell>
          <cell r="B174">
            <v>12</v>
          </cell>
          <cell r="C174" t="str">
            <v>Long Term Loans &amp; Advances</v>
          </cell>
          <cell r="D174" t="str">
            <v>Long Term Deposits</v>
          </cell>
          <cell r="E174">
            <v>248200</v>
          </cell>
          <cell r="F174">
            <v>0</v>
          </cell>
          <cell r="G174">
            <v>248200</v>
          </cell>
          <cell r="H174">
            <v>0</v>
          </cell>
          <cell r="I174">
            <v>0</v>
          </cell>
          <cell r="J174">
            <v>0</v>
          </cell>
          <cell r="K174">
            <v>0</v>
          </cell>
          <cell r="L174">
            <v>0</v>
          </cell>
          <cell r="M174">
            <v>0</v>
          </cell>
          <cell r="N174">
            <v>0</v>
          </cell>
          <cell r="O174">
            <v>0</v>
          </cell>
          <cell r="P174">
            <v>0</v>
          </cell>
        </row>
        <row r="175">
          <cell r="A175" t="str">
            <v>Deposit for  COAL to MSMC</v>
          </cell>
          <cell r="B175">
            <v>12</v>
          </cell>
          <cell r="C175" t="str">
            <v>Long Term Loans &amp; Advances</v>
          </cell>
          <cell r="D175" t="str">
            <v>Long Term Deposits</v>
          </cell>
          <cell r="E175">
            <v>1137100</v>
          </cell>
          <cell r="F175">
            <v>0</v>
          </cell>
          <cell r="G175">
            <v>1137100</v>
          </cell>
          <cell r="H175">
            <v>0</v>
          </cell>
          <cell r="I175">
            <v>0</v>
          </cell>
          <cell r="J175">
            <v>0</v>
          </cell>
          <cell r="K175">
            <v>1137100</v>
          </cell>
          <cell r="L175">
            <v>0</v>
          </cell>
          <cell r="M175">
            <v>1137100</v>
          </cell>
          <cell r="N175">
            <v>0</v>
          </cell>
          <cell r="O175">
            <v>0</v>
          </cell>
          <cell r="P175">
            <v>0</v>
          </cell>
        </row>
        <row r="176">
          <cell r="A176" t="str">
            <v>Deposit for Excise order</v>
          </cell>
          <cell r="B176">
            <v>8</v>
          </cell>
          <cell r="C176" t="str">
            <v>Other Current Liabilities</v>
          </cell>
          <cell r="D176" t="str">
            <v>Statutory Dues</v>
          </cell>
          <cell r="E176">
            <v>0</v>
          </cell>
          <cell r="F176">
            <v>0</v>
          </cell>
          <cell r="G176">
            <v>0</v>
          </cell>
          <cell r="H176">
            <v>0</v>
          </cell>
          <cell r="I176">
            <v>0</v>
          </cell>
          <cell r="J176">
            <v>0</v>
          </cell>
          <cell r="K176">
            <v>0</v>
          </cell>
          <cell r="L176">
            <v>0</v>
          </cell>
          <cell r="M176">
            <v>0</v>
          </cell>
          <cell r="N176">
            <v>0</v>
          </cell>
          <cell r="O176">
            <v>0</v>
          </cell>
          <cell r="P176">
            <v>0</v>
          </cell>
        </row>
        <row r="177">
          <cell r="A177" t="str">
            <v>Deposit for House (Rental)</v>
          </cell>
          <cell r="B177">
            <v>12</v>
          </cell>
          <cell r="C177" t="str">
            <v>Long Term Loans &amp; Advances</v>
          </cell>
          <cell r="D177" t="str">
            <v>Security Deposits</v>
          </cell>
          <cell r="E177">
            <v>0</v>
          </cell>
          <cell r="F177">
            <v>0</v>
          </cell>
          <cell r="G177">
            <v>0</v>
          </cell>
          <cell r="H177">
            <v>0</v>
          </cell>
          <cell r="I177">
            <v>0</v>
          </cell>
          <cell r="J177">
            <v>0</v>
          </cell>
          <cell r="K177">
            <v>0</v>
          </cell>
          <cell r="L177">
            <v>0</v>
          </cell>
          <cell r="M177">
            <v>0</v>
          </cell>
          <cell r="N177">
            <v>0</v>
          </cell>
          <cell r="O177">
            <v>0</v>
          </cell>
          <cell r="P177">
            <v>0</v>
          </cell>
        </row>
        <row r="178">
          <cell r="A178" t="str">
            <v>Deposit for LPG Domestic Cylender Connection</v>
          </cell>
          <cell r="B178">
            <v>12</v>
          </cell>
          <cell r="C178" t="str">
            <v>Long Term Loans &amp; Advances</v>
          </cell>
          <cell r="D178" t="str">
            <v>Long Term Deposits</v>
          </cell>
          <cell r="E178">
            <v>6800</v>
          </cell>
          <cell r="F178">
            <v>0</v>
          </cell>
          <cell r="G178">
            <v>6800</v>
          </cell>
          <cell r="H178">
            <v>0</v>
          </cell>
          <cell r="I178">
            <v>0</v>
          </cell>
          <cell r="J178">
            <v>0</v>
          </cell>
          <cell r="K178">
            <v>6800</v>
          </cell>
          <cell r="L178">
            <v>0</v>
          </cell>
          <cell r="M178">
            <v>6800</v>
          </cell>
          <cell r="N178">
            <v>0</v>
          </cell>
          <cell r="O178">
            <v>0</v>
          </cell>
          <cell r="P178">
            <v>0</v>
          </cell>
        </row>
        <row r="179">
          <cell r="A179" t="str">
            <v>Deposit for Moble No.9823064595</v>
          </cell>
          <cell r="B179">
            <v>12</v>
          </cell>
          <cell r="C179" t="str">
            <v>Long Term Loans &amp; Advances</v>
          </cell>
          <cell r="D179" t="str">
            <v>Security Deposits</v>
          </cell>
          <cell r="E179">
            <v>0</v>
          </cell>
          <cell r="F179">
            <v>0</v>
          </cell>
          <cell r="G179">
            <v>0</v>
          </cell>
          <cell r="H179">
            <v>0</v>
          </cell>
          <cell r="I179">
            <v>0</v>
          </cell>
          <cell r="J179">
            <v>0</v>
          </cell>
          <cell r="K179">
            <v>0</v>
          </cell>
          <cell r="L179">
            <v>0</v>
          </cell>
          <cell r="M179">
            <v>0</v>
          </cell>
          <cell r="N179">
            <v>0</v>
          </cell>
          <cell r="O179">
            <v>0</v>
          </cell>
          <cell r="P179">
            <v>0</v>
          </cell>
        </row>
        <row r="180">
          <cell r="A180" t="str">
            <v>DEPOSIT FOR SBI  BG 3,90,000 [ TDR. 37091487639]</v>
          </cell>
          <cell r="B180">
            <v>13</v>
          </cell>
          <cell r="C180" t="str">
            <v>Other Non-Current Assets</v>
          </cell>
          <cell r="D180" t="str">
            <v>Balance with Bank in Deposit Accounts</v>
          </cell>
          <cell r="E180">
            <v>0</v>
          </cell>
          <cell r="F180">
            <v>0</v>
          </cell>
          <cell r="G180">
            <v>0</v>
          </cell>
          <cell r="H180">
            <v>0</v>
          </cell>
          <cell r="I180">
            <v>0</v>
          </cell>
          <cell r="J180">
            <v>0</v>
          </cell>
          <cell r="K180">
            <v>414273</v>
          </cell>
          <cell r="L180">
            <v>0</v>
          </cell>
          <cell r="M180">
            <v>414273</v>
          </cell>
          <cell r="N180">
            <v>0</v>
          </cell>
          <cell r="O180">
            <v>0</v>
          </cell>
          <cell r="P180">
            <v>0</v>
          </cell>
        </row>
        <row r="181">
          <cell r="A181" t="str">
            <v>Deposit with Import (OCC)</v>
          </cell>
          <cell r="B181">
            <v>12</v>
          </cell>
          <cell r="C181" t="str">
            <v>Long Term Loans &amp; Advances</v>
          </cell>
          <cell r="D181" t="str">
            <v>Long Term Deposits</v>
          </cell>
          <cell r="E181">
            <v>470000</v>
          </cell>
          <cell r="F181">
            <v>0</v>
          </cell>
          <cell r="G181">
            <v>470000</v>
          </cell>
          <cell r="H181">
            <v>0</v>
          </cell>
          <cell r="I181">
            <v>0</v>
          </cell>
          <cell r="J181">
            <v>0</v>
          </cell>
          <cell r="K181">
            <v>50000</v>
          </cell>
          <cell r="L181">
            <v>0</v>
          </cell>
          <cell r="M181">
            <v>50000</v>
          </cell>
          <cell r="N181">
            <v>0</v>
          </cell>
          <cell r="O181">
            <v>0</v>
          </cell>
          <cell r="P181">
            <v>0</v>
          </cell>
        </row>
        <row r="182">
          <cell r="A182" t="str">
            <v>Deposit With SBI for B G. 5 Lac [ MPCB]Ac 0593303</v>
          </cell>
          <cell r="B182">
            <v>13</v>
          </cell>
          <cell r="C182" t="str">
            <v>Other Non-Current Assets</v>
          </cell>
          <cell r="D182" t="str">
            <v>Balance with Bank in Deposit Accounts</v>
          </cell>
          <cell r="E182">
            <v>0</v>
          </cell>
          <cell r="F182">
            <v>0</v>
          </cell>
          <cell r="G182">
            <v>0</v>
          </cell>
          <cell r="H182">
            <v>0</v>
          </cell>
          <cell r="I182">
            <v>0</v>
          </cell>
          <cell r="J182">
            <v>0</v>
          </cell>
          <cell r="K182">
            <v>0</v>
          </cell>
          <cell r="L182">
            <v>0</v>
          </cell>
          <cell r="M182">
            <v>0</v>
          </cell>
          <cell r="N182">
            <v>0</v>
          </cell>
          <cell r="O182">
            <v>0</v>
          </cell>
          <cell r="P182">
            <v>0</v>
          </cell>
        </row>
        <row r="183">
          <cell r="A183" t="str">
            <v>Deposit With SBI for Bank Guar.Rs. 500000/ [ MPCB]</v>
          </cell>
          <cell r="B183">
            <v>13</v>
          </cell>
          <cell r="C183" t="str">
            <v>Other Non-Current Assets</v>
          </cell>
          <cell r="D183" t="str">
            <v>Balance with Bank in Deposit Accounts</v>
          </cell>
          <cell r="E183">
            <v>0</v>
          </cell>
          <cell r="F183">
            <v>0</v>
          </cell>
          <cell r="G183">
            <v>0</v>
          </cell>
          <cell r="H183">
            <v>0</v>
          </cell>
          <cell r="I183">
            <v>0</v>
          </cell>
          <cell r="J183">
            <v>0</v>
          </cell>
          <cell r="K183">
            <v>0</v>
          </cell>
          <cell r="L183">
            <v>0</v>
          </cell>
          <cell r="M183">
            <v>0</v>
          </cell>
          <cell r="N183">
            <v>0</v>
          </cell>
          <cell r="O183">
            <v>0</v>
          </cell>
          <cell r="P183">
            <v>0</v>
          </cell>
        </row>
        <row r="184">
          <cell r="A184" t="str">
            <v>Deposit With SBI for MPCB 5 Lac BG [Rs.1,25,000]</v>
          </cell>
          <cell r="B184">
            <v>13</v>
          </cell>
          <cell r="C184" t="str">
            <v>Other Non-Current Assets</v>
          </cell>
          <cell r="D184" t="str">
            <v>Balance with Bank in Deposit Accounts</v>
          </cell>
          <cell r="E184">
            <v>125875</v>
          </cell>
          <cell r="F184">
            <v>0</v>
          </cell>
          <cell r="G184">
            <v>125875</v>
          </cell>
          <cell r="H184">
            <v>0</v>
          </cell>
          <cell r="I184">
            <v>0</v>
          </cell>
          <cell r="J184">
            <v>0</v>
          </cell>
          <cell r="K184">
            <v>125000</v>
          </cell>
          <cell r="L184">
            <v>0</v>
          </cell>
          <cell r="M184">
            <v>125000</v>
          </cell>
          <cell r="N184">
            <v>0</v>
          </cell>
          <cell r="O184">
            <v>0</v>
          </cell>
          <cell r="P184">
            <v>0</v>
          </cell>
        </row>
        <row r="185">
          <cell r="A185" t="str">
            <v>Deposits For Office Premises</v>
          </cell>
          <cell r="B185">
            <v>12</v>
          </cell>
          <cell r="C185" t="str">
            <v>Long Term Loans &amp; Advances</v>
          </cell>
          <cell r="D185" t="str">
            <v>Long Term Deposits</v>
          </cell>
          <cell r="E185">
            <v>200000</v>
          </cell>
          <cell r="F185">
            <v>0</v>
          </cell>
          <cell r="G185">
            <v>200000</v>
          </cell>
          <cell r="H185">
            <v>0</v>
          </cell>
          <cell r="I185">
            <v>0</v>
          </cell>
          <cell r="J185">
            <v>0</v>
          </cell>
          <cell r="K185">
            <v>200000</v>
          </cell>
          <cell r="L185">
            <v>0</v>
          </cell>
          <cell r="M185">
            <v>200000</v>
          </cell>
          <cell r="N185">
            <v>0</v>
          </cell>
          <cell r="O185">
            <v>0</v>
          </cell>
          <cell r="P185">
            <v>0</v>
          </cell>
        </row>
        <row r="186">
          <cell r="A186" t="str">
            <v>Deposits For Telephone</v>
          </cell>
          <cell r="B186">
            <v>12</v>
          </cell>
          <cell r="C186" t="str">
            <v>Long Term Loans &amp; Advances</v>
          </cell>
          <cell r="D186" t="str">
            <v>Long Term Deposits</v>
          </cell>
          <cell r="E186">
            <v>9500</v>
          </cell>
          <cell r="F186">
            <v>0</v>
          </cell>
          <cell r="G186">
            <v>9500</v>
          </cell>
          <cell r="H186">
            <v>0</v>
          </cell>
          <cell r="I186">
            <v>0</v>
          </cell>
          <cell r="J186">
            <v>0</v>
          </cell>
          <cell r="K186">
            <v>9500</v>
          </cell>
          <cell r="L186">
            <v>0</v>
          </cell>
          <cell r="M186">
            <v>9500</v>
          </cell>
          <cell r="N186">
            <v>0</v>
          </cell>
          <cell r="O186">
            <v>0</v>
          </cell>
          <cell r="P186">
            <v>0</v>
          </cell>
        </row>
        <row r="187">
          <cell r="A187" t="str">
            <v>Deposits Group Gratuity Fund</v>
          </cell>
          <cell r="B187">
            <v>9</v>
          </cell>
          <cell r="C187" t="str">
            <v>Short Term Provision</v>
          </cell>
          <cell r="D187" t="str">
            <v>Provision for Employee Benefit</v>
          </cell>
          <cell r="E187">
            <v>4494616</v>
          </cell>
          <cell r="F187">
            <v>0</v>
          </cell>
          <cell r="G187">
            <v>4494616</v>
          </cell>
          <cell r="H187">
            <v>0</v>
          </cell>
          <cell r="I187">
            <v>0</v>
          </cell>
          <cell r="J187">
            <v>0</v>
          </cell>
          <cell r="K187">
            <v>4161624.7</v>
          </cell>
          <cell r="L187">
            <v>0</v>
          </cell>
          <cell r="M187">
            <v>4161624.7</v>
          </cell>
          <cell r="N187">
            <v>0</v>
          </cell>
          <cell r="O187">
            <v>0</v>
          </cell>
          <cell r="P187">
            <v>0</v>
          </cell>
        </row>
        <row r="188">
          <cell r="A188" t="str">
            <v>Deposits with S.B.I. for LC Margin Rs.3,75,000/-</v>
          </cell>
          <cell r="B188">
            <v>13</v>
          </cell>
          <cell r="C188" t="str">
            <v>Other Non-Current Assets</v>
          </cell>
          <cell r="D188" t="str">
            <v>Balance with Bank in Deposit Accounts</v>
          </cell>
          <cell r="E188">
            <v>0</v>
          </cell>
          <cell r="F188">
            <v>0</v>
          </cell>
          <cell r="G188">
            <v>0</v>
          </cell>
          <cell r="H188">
            <v>0</v>
          </cell>
          <cell r="I188">
            <v>0</v>
          </cell>
          <cell r="J188">
            <v>0</v>
          </cell>
          <cell r="K188">
            <v>375000</v>
          </cell>
          <cell r="L188">
            <v>0</v>
          </cell>
          <cell r="M188">
            <v>375000</v>
          </cell>
          <cell r="N188">
            <v>0</v>
          </cell>
          <cell r="O188">
            <v>0</v>
          </cell>
          <cell r="P188">
            <v>0</v>
          </cell>
        </row>
        <row r="189">
          <cell r="A189" t="str">
            <v>Depreciation Electrical Installation</v>
          </cell>
          <cell r="B189">
            <v>10</v>
          </cell>
          <cell r="C189" t="str">
            <v>Depreciation &amp; Amortisation</v>
          </cell>
          <cell r="D189" t="str">
            <v>Depreciation</v>
          </cell>
          <cell r="E189">
            <v>1739848</v>
          </cell>
          <cell r="F189">
            <v>0</v>
          </cell>
          <cell r="G189">
            <v>1739848</v>
          </cell>
          <cell r="H189">
            <v>0</v>
          </cell>
          <cell r="I189">
            <v>0</v>
          </cell>
          <cell r="J189">
            <v>0</v>
          </cell>
          <cell r="K189">
            <v>1830288</v>
          </cell>
          <cell r="L189">
            <v>0</v>
          </cell>
          <cell r="M189">
            <v>1830288</v>
          </cell>
          <cell r="N189">
            <v>0</v>
          </cell>
          <cell r="O189">
            <v>0</v>
          </cell>
          <cell r="P189">
            <v>0</v>
          </cell>
        </row>
        <row r="190">
          <cell r="A190" t="str">
            <v>Depreciation On Building</v>
          </cell>
          <cell r="B190">
            <v>10</v>
          </cell>
          <cell r="C190" t="str">
            <v>Depreciation &amp; Amortisation</v>
          </cell>
          <cell r="D190" t="str">
            <v>Depreciation</v>
          </cell>
          <cell r="E190">
            <v>1751115</v>
          </cell>
          <cell r="F190">
            <v>0</v>
          </cell>
          <cell r="G190">
            <v>1751115</v>
          </cell>
          <cell r="H190">
            <v>0</v>
          </cell>
          <cell r="I190">
            <v>0</v>
          </cell>
          <cell r="J190">
            <v>0</v>
          </cell>
          <cell r="K190">
            <v>1578365</v>
          </cell>
          <cell r="L190">
            <v>0</v>
          </cell>
          <cell r="M190">
            <v>1578365</v>
          </cell>
          <cell r="N190">
            <v>0</v>
          </cell>
          <cell r="O190">
            <v>0</v>
          </cell>
          <cell r="P190">
            <v>0</v>
          </cell>
        </row>
        <row r="191">
          <cell r="A191" t="str">
            <v>Depreciation On Computer</v>
          </cell>
          <cell r="B191">
            <v>10</v>
          </cell>
          <cell r="C191" t="str">
            <v>Depreciation &amp; Amortisation</v>
          </cell>
          <cell r="D191" t="str">
            <v>Depreciation</v>
          </cell>
          <cell r="E191">
            <v>93159</v>
          </cell>
          <cell r="F191">
            <v>0</v>
          </cell>
          <cell r="G191">
            <v>93159</v>
          </cell>
          <cell r="H191">
            <v>0</v>
          </cell>
          <cell r="I191">
            <v>0</v>
          </cell>
          <cell r="J191">
            <v>0</v>
          </cell>
          <cell r="K191">
            <v>59810</v>
          </cell>
          <cell r="L191">
            <v>0</v>
          </cell>
          <cell r="M191">
            <v>59810</v>
          </cell>
          <cell r="N191">
            <v>0</v>
          </cell>
          <cell r="O191">
            <v>0</v>
          </cell>
          <cell r="P191">
            <v>0</v>
          </cell>
        </row>
        <row r="192">
          <cell r="A192" t="str">
            <v>Depreciation On Factory Building</v>
          </cell>
          <cell r="B192">
            <v>10</v>
          </cell>
          <cell r="C192" t="str">
            <v>Depreciation &amp; Amortisation</v>
          </cell>
          <cell r="D192" t="str">
            <v>Depreciation</v>
          </cell>
          <cell r="E192">
            <v>0</v>
          </cell>
          <cell r="F192">
            <v>0</v>
          </cell>
          <cell r="G192">
            <v>0</v>
          </cell>
          <cell r="H192">
            <v>0</v>
          </cell>
          <cell r="I192">
            <v>0</v>
          </cell>
          <cell r="J192">
            <v>0</v>
          </cell>
          <cell r="K192">
            <v>0</v>
          </cell>
          <cell r="L192">
            <v>0</v>
          </cell>
          <cell r="M192">
            <v>0</v>
          </cell>
          <cell r="N192">
            <v>0</v>
          </cell>
          <cell r="O192">
            <v>0</v>
          </cell>
          <cell r="P192">
            <v>0</v>
          </cell>
        </row>
        <row r="193">
          <cell r="A193" t="str">
            <v>Depreciation on Furniture &amp; Fixture</v>
          </cell>
          <cell r="B193">
            <v>10</v>
          </cell>
          <cell r="C193" t="str">
            <v>Depreciation &amp; Amortisation</v>
          </cell>
          <cell r="D193" t="str">
            <v>Depreciation</v>
          </cell>
          <cell r="E193">
            <v>56164</v>
          </cell>
          <cell r="F193">
            <v>0</v>
          </cell>
          <cell r="G193">
            <v>56164</v>
          </cell>
          <cell r="H193">
            <v>0</v>
          </cell>
          <cell r="I193">
            <v>0</v>
          </cell>
          <cell r="J193">
            <v>0</v>
          </cell>
          <cell r="K193">
            <v>115548</v>
          </cell>
          <cell r="L193">
            <v>0</v>
          </cell>
          <cell r="M193">
            <v>115548</v>
          </cell>
          <cell r="N193">
            <v>0</v>
          </cell>
          <cell r="O193">
            <v>0</v>
          </cell>
          <cell r="P193">
            <v>0</v>
          </cell>
        </row>
        <row r="194">
          <cell r="A194" t="str">
            <v>Depreciation on Office Equipment</v>
          </cell>
          <cell r="B194">
            <v>10</v>
          </cell>
          <cell r="C194" t="str">
            <v>Depreciation &amp; Amortisation</v>
          </cell>
          <cell r="D194" t="str">
            <v>Depreciation</v>
          </cell>
          <cell r="E194">
            <v>24904</v>
          </cell>
          <cell r="F194">
            <v>0</v>
          </cell>
          <cell r="G194">
            <v>24904</v>
          </cell>
          <cell r="H194">
            <v>0</v>
          </cell>
          <cell r="I194">
            <v>0</v>
          </cell>
          <cell r="J194">
            <v>0</v>
          </cell>
          <cell r="K194">
            <v>23569</v>
          </cell>
          <cell r="L194">
            <v>0</v>
          </cell>
          <cell r="M194">
            <v>23569</v>
          </cell>
          <cell r="N194">
            <v>0</v>
          </cell>
          <cell r="O194">
            <v>0</v>
          </cell>
          <cell r="P194">
            <v>0</v>
          </cell>
        </row>
        <row r="195">
          <cell r="A195" t="str">
            <v>Depreciation On Plant &amp; Machinery</v>
          </cell>
          <cell r="B195">
            <v>10</v>
          </cell>
          <cell r="C195" t="str">
            <v>Depreciation &amp; Amortisation</v>
          </cell>
          <cell r="D195" t="str">
            <v>Depreciation</v>
          </cell>
          <cell r="E195">
            <v>13133972</v>
          </cell>
          <cell r="F195">
            <v>0</v>
          </cell>
          <cell r="G195">
            <v>13133972</v>
          </cell>
          <cell r="H195">
            <v>0</v>
          </cell>
          <cell r="I195">
            <v>0</v>
          </cell>
          <cell r="J195">
            <v>0</v>
          </cell>
          <cell r="K195">
            <v>12624072</v>
          </cell>
          <cell r="L195">
            <v>0</v>
          </cell>
          <cell r="M195">
            <v>12624072</v>
          </cell>
          <cell r="N195">
            <v>0</v>
          </cell>
          <cell r="O195">
            <v>0</v>
          </cell>
          <cell r="P195">
            <v>0</v>
          </cell>
        </row>
        <row r="196">
          <cell r="A196" t="str">
            <v>Depreciation on Vehicle</v>
          </cell>
          <cell r="B196">
            <v>10</v>
          </cell>
          <cell r="C196" t="str">
            <v>Depreciation &amp; Amortisation</v>
          </cell>
          <cell r="D196" t="str">
            <v>Depreciation</v>
          </cell>
          <cell r="E196">
            <v>240398</v>
          </cell>
          <cell r="F196">
            <v>0</v>
          </cell>
          <cell r="G196">
            <v>240398</v>
          </cell>
          <cell r="H196">
            <v>0</v>
          </cell>
          <cell r="I196">
            <v>0</v>
          </cell>
          <cell r="J196">
            <v>0</v>
          </cell>
          <cell r="K196">
            <v>235948</v>
          </cell>
          <cell r="L196">
            <v>0</v>
          </cell>
          <cell r="M196">
            <v>235948</v>
          </cell>
          <cell r="N196">
            <v>0</v>
          </cell>
          <cell r="O196">
            <v>0</v>
          </cell>
          <cell r="P196">
            <v>0</v>
          </cell>
        </row>
        <row r="197">
          <cell r="A197" t="str">
            <v>DHANLAKSHMI PACKAGING</v>
          </cell>
          <cell r="B197">
            <v>15</v>
          </cell>
          <cell r="C197" t="str">
            <v>Trade Receivables</v>
          </cell>
          <cell r="D197" t="str">
            <v>Other Debts</v>
          </cell>
          <cell r="E197">
            <v>0</v>
          </cell>
          <cell r="F197">
            <v>0</v>
          </cell>
          <cell r="G197">
            <v>0</v>
          </cell>
          <cell r="H197">
            <v>0</v>
          </cell>
          <cell r="I197">
            <v>0</v>
          </cell>
          <cell r="J197">
            <v>0</v>
          </cell>
          <cell r="K197">
            <v>0</v>
          </cell>
          <cell r="L197">
            <v>0</v>
          </cell>
          <cell r="M197">
            <v>0</v>
          </cell>
          <cell r="N197">
            <v>0</v>
          </cell>
          <cell r="O197">
            <v>0</v>
          </cell>
          <cell r="P197">
            <v>0</v>
          </cell>
        </row>
        <row r="198">
          <cell r="A198" t="str">
            <v>Dhanraj Raut</v>
          </cell>
          <cell r="B198">
            <v>12</v>
          </cell>
          <cell r="C198" t="str">
            <v>Long Term Loans &amp; Advances</v>
          </cell>
          <cell r="D198" t="str">
            <v>Loans and Advances to Employees</v>
          </cell>
          <cell r="E198">
            <v>0</v>
          </cell>
          <cell r="F198">
            <v>0</v>
          </cell>
          <cell r="G198">
            <v>0</v>
          </cell>
          <cell r="H198">
            <v>0</v>
          </cell>
          <cell r="I198">
            <v>0</v>
          </cell>
          <cell r="J198">
            <v>0</v>
          </cell>
          <cell r="K198">
            <v>7000</v>
          </cell>
          <cell r="L198">
            <v>0</v>
          </cell>
          <cell r="M198">
            <v>7000</v>
          </cell>
          <cell r="N198">
            <v>0</v>
          </cell>
          <cell r="O198">
            <v>0</v>
          </cell>
          <cell r="P198">
            <v>0</v>
          </cell>
        </row>
        <row r="199">
          <cell r="A199" t="str">
            <v>Amol Kakade</v>
          </cell>
          <cell r="B199">
            <v>12</v>
          </cell>
          <cell r="C199" t="str">
            <v>Long Term Loans &amp; Advances</v>
          </cell>
          <cell r="D199" t="str">
            <v>Loans and Advances to Employees</v>
          </cell>
          <cell r="E199">
            <v>4000</v>
          </cell>
          <cell r="F199">
            <v>0</v>
          </cell>
          <cell r="G199">
            <v>4000</v>
          </cell>
          <cell r="H199">
            <v>0</v>
          </cell>
          <cell r="I199">
            <v>0</v>
          </cell>
          <cell r="J199">
            <v>0</v>
          </cell>
          <cell r="K199">
            <v>0</v>
          </cell>
          <cell r="L199">
            <v>0</v>
          </cell>
          <cell r="M199">
            <v>0</v>
          </cell>
          <cell r="N199">
            <v>0</v>
          </cell>
          <cell r="O199">
            <v>0</v>
          </cell>
          <cell r="P199">
            <v>0</v>
          </cell>
        </row>
        <row r="200">
          <cell r="A200" t="str">
            <v>Dhawal Dinesh Kawade</v>
          </cell>
          <cell r="B200">
            <v>7</v>
          </cell>
          <cell r="C200" t="str">
            <v>Trade Payables</v>
          </cell>
          <cell r="D200" t="str">
            <v>Trade Payables</v>
          </cell>
          <cell r="E200">
            <v>0</v>
          </cell>
          <cell r="F200">
            <v>0</v>
          </cell>
          <cell r="G200">
            <v>0</v>
          </cell>
          <cell r="H200">
            <v>29160</v>
          </cell>
          <cell r="I200">
            <v>0</v>
          </cell>
          <cell r="J200">
            <v>29160</v>
          </cell>
          <cell r="K200">
            <v>0</v>
          </cell>
          <cell r="L200">
            <v>0</v>
          </cell>
          <cell r="M200">
            <v>0</v>
          </cell>
          <cell r="N200">
            <v>0</v>
          </cell>
          <cell r="O200">
            <v>0</v>
          </cell>
          <cell r="P200">
            <v>0</v>
          </cell>
        </row>
        <row r="201">
          <cell r="A201" t="str">
            <v>DILIPKUMAR PATEL</v>
          </cell>
          <cell r="B201">
            <v>12</v>
          </cell>
          <cell r="C201" t="str">
            <v>Long Term Loans &amp; Advances</v>
          </cell>
          <cell r="D201" t="str">
            <v>Loans and Advances to Employees</v>
          </cell>
          <cell r="E201">
            <v>0</v>
          </cell>
          <cell r="F201">
            <v>0</v>
          </cell>
          <cell r="G201">
            <v>0</v>
          </cell>
          <cell r="H201">
            <v>0</v>
          </cell>
          <cell r="I201">
            <v>0</v>
          </cell>
          <cell r="J201">
            <v>0</v>
          </cell>
          <cell r="K201">
            <v>5000</v>
          </cell>
          <cell r="L201">
            <v>0</v>
          </cell>
          <cell r="M201">
            <v>5000</v>
          </cell>
          <cell r="N201">
            <v>0</v>
          </cell>
          <cell r="O201">
            <v>0</v>
          </cell>
          <cell r="P201">
            <v>0</v>
          </cell>
        </row>
        <row r="202">
          <cell r="A202" t="str">
            <v>Discount &amp; Billing Diff Account</v>
          </cell>
          <cell r="B202">
            <v>19</v>
          </cell>
          <cell r="C202" t="str">
            <v>Revenue From Operations</v>
          </cell>
          <cell r="D202" t="str">
            <v>Sale of Goods - Manufacturing Sales</v>
          </cell>
          <cell r="E202">
            <v>0</v>
          </cell>
          <cell r="F202">
            <v>0</v>
          </cell>
          <cell r="G202">
            <v>0</v>
          </cell>
          <cell r="H202">
            <v>0</v>
          </cell>
          <cell r="I202">
            <v>0</v>
          </cell>
          <cell r="J202">
            <v>0</v>
          </cell>
          <cell r="K202">
            <v>0</v>
          </cell>
          <cell r="L202">
            <v>0</v>
          </cell>
          <cell r="M202">
            <v>0</v>
          </cell>
          <cell r="N202">
            <v>0</v>
          </cell>
          <cell r="O202">
            <v>0</v>
          </cell>
          <cell r="P202">
            <v>0</v>
          </cell>
        </row>
        <row r="203">
          <cell r="A203" t="str">
            <v>Discount &amp; Billing Diff Account (HSN/SAC: 4804)</v>
          </cell>
          <cell r="B203">
            <v>19</v>
          </cell>
          <cell r="C203" t="str">
            <v>Revenue From Operations</v>
          </cell>
          <cell r="D203" t="str">
            <v>Sale of Goods - Manufacturing Sales</v>
          </cell>
          <cell r="E203">
            <v>30249269</v>
          </cell>
          <cell r="F203">
            <v>0</v>
          </cell>
          <cell r="G203">
            <v>30249269</v>
          </cell>
          <cell r="H203">
            <v>0</v>
          </cell>
          <cell r="I203">
            <v>0</v>
          </cell>
          <cell r="J203">
            <v>0</v>
          </cell>
          <cell r="K203">
            <v>28782260</v>
          </cell>
          <cell r="L203">
            <v>0</v>
          </cell>
          <cell r="M203">
            <v>28782260</v>
          </cell>
          <cell r="N203">
            <v>0</v>
          </cell>
          <cell r="O203">
            <v>0</v>
          </cell>
          <cell r="P203">
            <v>0</v>
          </cell>
        </row>
        <row r="204">
          <cell r="A204" t="str">
            <v>DISTRIBUTION LOGISTICS INFRASTRUCTURE PVT.LTD.</v>
          </cell>
          <cell r="B204">
            <v>17</v>
          </cell>
          <cell r="C204" t="str">
            <v>Short Term Loans &amp; Advances</v>
          </cell>
          <cell r="D204" t="str">
            <v>Advance to Suppliers</v>
          </cell>
          <cell r="E204">
            <v>0</v>
          </cell>
          <cell r="F204">
            <v>0</v>
          </cell>
          <cell r="G204">
            <v>0</v>
          </cell>
          <cell r="H204">
            <v>49644.76</v>
          </cell>
          <cell r="I204">
            <v>0</v>
          </cell>
          <cell r="J204">
            <v>49644.76</v>
          </cell>
          <cell r="K204">
            <v>188929.24</v>
          </cell>
          <cell r="L204">
            <v>0</v>
          </cell>
          <cell r="M204">
            <v>188929.24</v>
          </cell>
          <cell r="N204">
            <v>0</v>
          </cell>
          <cell r="O204">
            <v>0</v>
          </cell>
          <cell r="P204">
            <v>0</v>
          </cell>
        </row>
        <row r="205">
          <cell r="A205" t="str">
            <v>Donation Account</v>
          </cell>
          <cell r="B205">
            <v>26</v>
          </cell>
          <cell r="C205" t="str">
            <v>Other Expenses</v>
          </cell>
          <cell r="D205" t="str">
            <v>Donation</v>
          </cell>
          <cell r="E205">
            <v>13002</v>
          </cell>
          <cell r="F205">
            <v>0</v>
          </cell>
          <cell r="G205">
            <v>13002</v>
          </cell>
          <cell r="H205">
            <v>0</v>
          </cell>
          <cell r="I205">
            <v>0</v>
          </cell>
          <cell r="J205">
            <v>0</v>
          </cell>
          <cell r="K205">
            <v>0</v>
          </cell>
          <cell r="L205">
            <v>0</v>
          </cell>
          <cell r="M205">
            <v>0</v>
          </cell>
          <cell r="N205">
            <v>0</v>
          </cell>
          <cell r="O205">
            <v>0</v>
          </cell>
          <cell r="P205">
            <v>0</v>
          </cell>
        </row>
        <row r="206">
          <cell r="A206" t="str">
            <v>DURGA INDUSTRIAL  SECURITY, NAGPUR</v>
          </cell>
          <cell r="B206">
            <v>7</v>
          </cell>
          <cell r="C206" t="str">
            <v>Trade Payables</v>
          </cell>
          <cell r="D206" t="str">
            <v>Trade Payables</v>
          </cell>
          <cell r="E206">
            <v>0</v>
          </cell>
          <cell r="F206">
            <v>0</v>
          </cell>
          <cell r="G206">
            <v>0</v>
          </cell>
          <cell r="H206">
            <v>56640</v>
          </cell>
          <cell r="I206">
            <v>0</v>
          </cell>
          <cell r="J206">
            <v>56640</v>
          </cell>
          <cell r="K206">
            <v>0</v>
          </cell>
          <cell r="L206">
            <v>0</v>
          </cell>
          <cell r="M206">
            <v>0</v>
          </cell>
          <cell r="N206">
            <v>55518</v>
          </cell>
          <cell r="O206">
            <v>0</v>
          </cell>
          <cell r="P206">
            <v>55518</v>
          </cell>
        </row>
        <row r="207">
          <cell r="A207" t="str">
            <v>Durga Traders</v>
          </cell>
          <cell r="B207">
            <v>7</v>
          </cell>
          <cell r="C207" t="str">
            <v>Trade Payables</v>
          </cell>
          <cell r="D207" t="str">
            <v>Trade Payables</v>
          </cell>
          <cell r="E207">
            <v>0</v>
          </cell>
          <cell r="F207">
            <v>0</v>
          </cell>
          <cell r="G207">
            <v>0</v>
          </cell>
          <cell r="H207">
            <v>5099431.7</v>
          </cell>
          <cell r="I207">
            <v>0</v>
          </cell>
          <cell r="J207">
            <v>5099431.7</v>
          </cell>
          <cell r="K207">
            <v>0</v>
          </cell>
          <cell r="L207">
            <v>0</v>
          </cell>
          <cell r="M207">
            <v>0</v>
          </cell>
          <cell r="N207">
            <v>1590213.7</v>
          </cell>
          <cell r="O207">
            <v>0</v>
          </cell>
          <cell r="P207">
            <v>1590213.7</v>
          </cell>
        </row>
        <row r="208">
          <cell r="A208" t="str">
            <v>ECONOMIC PACKAGING CORPORATION</v>
          </cell>
          <cell r="B208">
            <v>15</v>
          </cell>
          <cell r="C208" t="str">
            <v>Trade Receivables</v>
          </cell>
          <cell r="D208" t="str">
            <v>Other Debts</v>
          </cell>
          <cell r="E208">
            <v>0</v>
          </cell>
          <cell r="F208">
            <v>0</v>
          </cell>
          <cell r="G208">
            <v>0</v>
          </cell>
          <cell r="H208">
            <v>0</v>
          </cell>
          <cell r="I208">
            <v>0</v>
          </cell>
          <cell r="J208">
            <v>0</v>
          </cell>
          <cell r="K208">
            <v>447794</v>
          </cell>
          <cell r="L208">
            <v>0</v>
          </cell>
          <cell r="M208">
            <v>447794</v>
          </cell>
          <cell r="N208">
            <v>0</v>
          </cell>
          <cell r="O208">
            <v>0</v>
          </cell>
          <cell r="P208">
            <v>0</v>
          </cell>
        </row>
        <row r="209">
          <cell r="A209" t="str">
            <v>Electrical Installation</v>
          </cell>
          <cell r="B209">
            <v>10</v>
          </cell>
          <cell r="C209" t="str">
            <v>Fixed Assets</v>
          </cell>
          <cell r="D209" t="str">
            <v>Tangible Asset</v>
          </cell>
          <cell r="E209">
            <v>28507135.620000001</v>
          </cell>
          <cell r="F209">
            <v>0</v>
          </cell>
          <cell r="G209">
            <v>28507135.620000001</v>
          </cell>
          <cell r="H209">
            <v>0</v>
          </cell>
          <cell r="I209">
            <v>0</v>
          </cell>
          <cell r="J209">
            <v>0</v>
          </cell>
          <cell r="K209">
            <v>26949655</v>
          </cell>
          <cell r="L209">
            <v>0</v>
          </cell>
          <cell r="M209">
            <v>26949655</v>
          </cell>
          <cell r="N209">
            <v>0</v>
          </cell>
          <cell r="O209">
            <v>0</v>
          </cell>
          <cell r="P209">
            <v>0</v>
          </cell>
        </row>
        <row r="210">
          <cell r="A210" t="str">
            <v>Equity Share Capital</v>
          </cell>
          <cell r="B210">
            <v>2</v>
          </cell>
          <cell r="C210" t="str">
            <v>Share Capital</v>
          </cell>
          <cell r="D210" t="str">
            <v>Issued, Subscribed &amp; Paid Up</v>
          </cell>
          <cell r="E210">
            <v>0</v>
          </cell>
          <cell r="F210">
            <v>0</v>
          </cell>
          <cell r="G210">
            <v>0</v>
          </cell>
          <cell r="H210">
            <v>26922650</v>
          </cell>
          <cell r="I210">
            <v>0</v>
          </cell>
          <cell r="J210">
            <v>26922650</v>
          </cell>
          <cell r="K210">
            <v>0</v>
          </cell>
          <cell r="L210">
            <v>0</v>
          </cell>
          <cell r="M210">
            <v>0</v>
          </cell>
          <cell r="N210">
            <v>26922650</v>
          </cell>
          <cell r="O210">
            <v>0</v>
          </cell>
          <cell r="P210">
            <v>26922650</v>
          </cell>
        </row>
        <row r="211">
          <cell r="A211" t="str">
            <v>E-Service Tax Expenses</v>
          </cell>
          <cell r="B211">
            <v>26</v>
          </cell>
          <cell r="C211" t="str">
            <v>Other Expenses</v>
          </cell>
          <cell r="D211" t="str">
            <v>Establishment Expenses-Rates &amp; Taxes</v>
          </cell>
          <cell r="E211">
            <v>0</v>
          </cell>
          <cell r="F211">
            <v>0</v>
          </cell>
          <cell r="G211">
            <v>0</v>
          </cell>
          <cell r="H211">
            <v>0</v>
          </cell>
          <cell r="I211">
            <v>0</v>
          </cell>
          <cell r="J211">
            <v>0</v>
          </cell>
          <cell r="K211">
            <v>0</v>
          </cell>
          <cell r="L211">
            <v>0</v>
          </cell>
          <cell r="M211">
            <v>0</v>
          </cell>
          <cell r="N211">
            <v>0</v>
          </cell>
          <cell r="O211">
            <v>0</v>
          </cell>
          <cell r="P211">
            <v>0</v>
          </cell>
        </row>
        <row r="212">
          <cell r="A212" t="str">
            <v>ESIC (Employees State Insurance Corpn)</v>
          </cell>
          <cell r="B212">
            <v>24</v>
          </cell>
          <cell r="C212" t="str">
            <v>Employee Benefit Expenses</v>
          </cell>
          <cell r="D212" t="str">
            <v>Contribution to Funds</v>
          </cell>
          <cell r="E212">
            <v>236394</v>
          </cell>
          <cell r="F212">
            <v>0</v>
          </cell>
          <cell r="G212">
            <v>236394</v>
          </cell>
          <cell r="H212">
            <v>0</v>
          </cell>
          <cell r="I212">
            <v>0</v>
          </cell>
          <cell r="J212">
            <v>0</v>
          </cell>
          <cell r="K212">
            <v>267216</v>
          </cell>
          <cell r="L212">
            <v>0</v>
          </cell>
          <cell r="M212">
            <v>267216</v>
          </cell>
          <cell r="N212">
            <v>0</v>
          </cell>
          <cell r="O212">
            <v>0</v>
          </cell>
          <cell r="P212">
            <v>0</v>
          </cell>
        </row>
        <row r="213">
          <cell r="A213" t="str">
            <v>E-TDS Filing Charges</v>
          </cell>
          <cell r="B213">
            <v>26</v>
          </cell>
          <cell r="C213" t="str">
            <v>Other Expenses</v>
          </cell>
          <cell r="D213" t="str">
            <v>Establishment Expenses-Rates &amp; Taxes</v>
          </cell>
          <cell r="E213">
            <v>0</v>
          </cell>
          <cell r="F213">
            <v>0</v>
          </cell>
          <cell r="G213">
            <v>0</v>
          </cell>
          <cell r="H213">
            <v>0</v>
          </cell>
          <cell r="I213">
            <v>0</v>
          </cell>
          <cell r="J213">
            <v>0</v>
          </cell>
          <cell r="K213">
            <v>7729</v>
          </cell>
          <cell r="L213">
            <v>0</v>
          </cell>
          <cell r="M213">
            <v>7729</v>
          </cell>
          <cell r="N213">
            <v>0</v>
          </cell>
          <cell r="O213">
            <v>0</v>
          </cell>
          <cell r="P213">
            <v>0</v>
          </cell>
        </row>
        <row r="214">
          <cell r="A214" t="str">
            <v>ETP Plant Building</v>
          </cell>
          <cell r="B214">
            <v>10</v>
          </cell>
          <cell r="C214" t="str">
            <v>Fixed Assets</v>
          </cell>
          <cell r="D214" t="str">
            <v>Tangible Asset</v>
          </cell>
          <cell r="E214">
            <v>0</v>
          </cell>
          <cell r="F214">
            <v>0</v>
          </cell>
          <cell r="G214">
            <v>0</v>
          </cell>
          <cell r="H214">
            <v>0</v>
          </cell>
          <cell r="I214">
            <v>0</v>
          </cell>
          <cell r="J214">
            <v>0</v>
          </cell>
          <cell r="K214">
            <v>0</v>
          </cell>
          <cell r="L214">
            <v>0</v>
          </cell>
          <cell r="M214">
            <v>0</v>
          </cell>
          <cell r="N214">
            <v>0</v>
          </cell>
          <cell r="O214">
            <v>0</v>
          </cell>
          <cell r="P214">
            <v>0</v>
          </cell>
        </row>
        <row r="215">
          <cell r="A215" t="str">
            <v>E-Voting Expenses</v>
          </cell>
          <cell r="B215">
            <v>26</v>
          </cell>
          <cell r="C215" t="str">
            <v>Other Expenses</v>
          </cell>
          <cell r="D215" t="str">
            <v>Establishment Expenses-Rates &amp; Taxes</v>
          </cell>
          <cell r="E215">
            <v>57414</v>
          </cell>
          <cell r="F215">
            <v>0</v>
          </cell>
          <cell r="G215">
            <v>57414</v>
          </cell>
          <cell r="H215">
            <v>0</v>
          </cell>
          <cell r="I215">
            <v>0</v>
          </cell>
          <cell r="J215">
            <v>0</v>
          </cell>
          <cell r="K215">
            <v>10000</v>
          </cell>
          <cell r="L215">
            <v>0</v>
          </cell>
          <cell r="M215">
            <v>10000</v>
          </cell>
          <cell r="N215">
            <v>0</v>
          </cell>
          <cell r="O215">
            <v>0</v>
          </cell>
          <cell r="P215">
            <v>0</v>
          </cell>
        </row>
        <row r="216">
          <cell r="A216" t="str">
            <v>Ex Gratia Payment</v>
          </cell>
          <cell r="B216">
            <v>24</v>
          </cell>
          <cell r="C216" t="str">
            <v>Employee Benefit Expenses</v>
          </cell>
          <cell r="D216" t="str">
            <v>Salary &amp; Wages</v>
          </cell>
          <cell r="E216">
            <v>0</v>
          </cell>
          <cell r="F216">
            <v>0</v>
          </cell>
          <cell r="G216">
            <v>0</v>
          </cell>
          <cell r="H216">
            <v>0</v>
          </cell>
          <cell r="I216">
            <v>0</v>
          </cell>
          <cell r="J216">
            <v>0</v>
          </cell>
          <cell r="K216">
            <v>300000</v>
          </cell>
          <cell r="L216">
            <v>0</v>
          </cell>
          <cell r="M216">
            <v>300000</v>
          </cell>
          <cell r="N216">
            <v>0</v>
          </cell>
          <cell r="O216">
            <v>0</v>
          </cell>
          <cell r="P216">
            <v>0</v>
          </cell>
        </row>
        <row r="217">
          <cell r="A217" t="str">
            <v>Excise Aud Para Expenses</v>
          </cell>
          <cell r="B217">
            <v>26</v>
          </cell>
          <cell r="C217" t="str">
            <v>Other Expenses</v>
          </cell>
          <cell r="D217" t="str">
            <v>Establishment Expenses-Rates &amp; Taxes</v>
          </cell>
          <cell r="E217">
            <v>0</v>
          </cell>
          <cell r="F217">
            <v>0</v>
          </cell>
          <cell r="G217">
            <v>0</v>
          </cell>
          <cell r="H217">
            <v>0</v>
          </cell>
          <cell r="I217">
            <v>0</v>
          </cell>
          <cell r="J217">
            <v>0</v>
          </cell>
          <cell r="K217">
            <v>131188</v>
          </cell>
          <cell r="L217">
            <v>0</v>
          </cell>
          <cell r="M217">
            <v>131188</v>
          </cell>
          <cell r="N217">
            <v>0</v>
          </cell>
          <cell r="O217">
            <v>0</v>
          </cell>
          <cell r="P217">
            <v>0</v>
          </cell>
        </row>
        <row r="218">
          <cell r="A218" t="str">
            <v>Excise Cess Expenses</v>
          </cell>
          <cell r="B218">
            <v>19</v>
          </cell>
          <cell r="C218" t="str">
            <v>Revenue From Operations</v>
          </cell>
          <cell r="D218" t="str">
            <v>Excise Duty</v>
          </cell>
          <cell r="E218">
            <v>0</v>
          </cell>
          <cell r="F218">
            <v>0</v>
          </cell>
          <cell r="G218">
            <v>0</v>
          </cell>
          <cell r="H218">
            <v>0</v>
          </cell>
          <cell r="I218">
            <v>0</v>
          </cell>
          <cell r="J218">
            <v>0</v>
          </cell>
          <cell r="K218">
            <v>0</v>
          </cell>
          <cell r="L218">
            <v>0</v>
          </cell>
          <cell r="M218">
            <v>0</v>
          </cell>
          <cell r="N218">
            <v>0</v>
          </cell>
          <cell r="O218">
            <v>0</v>
          </cell>
          <cell r="P218">
            <v>0</v>
          </cell>
        </row>
        <row r="219">
          <cell r="A219" t="str">
            <v>Excise Duty Expenses</v>
          </cell>
          <cell r="B219">
            <v>19</v>
          </cell>
          <cell r="C219" t="str">
            <v>Revenue From Operations</v>
          </cell>
          <cell r="D219" t="str">
            <v>Excise Duty</v>
          </cell>
          <cell r="E219">
            <v>0</v>
          </cell>
          <cell r="F219">
            <v>0</v>
          </cell>
          <cell r="G219">
            <v>0</v>
          </cell>
          <cell r="H219">
            <v>0</v>
          </cell>
          <cell r="I219">
            <v>0</v>
          </cell>
          <cell r="J219">
            <v>0</v>
          </cell>
          <cell r="K219">
            <v>0</v>
          </cell>
          <cell r="L219">
            <v>0</v>
          </cell>
          <cell r="M219">
            <v>0</v>
          </cell>
          <cell r="N219">
            <v>0</v>
          </cell>
          <cell r="O219">
            <v>0</v>
          </cell>
          <cell r="P219">
            <v>0</v>
          </cell>
        </row>
        <row r="220">
          <cell r="A220" t="str">
            <v>Excise Duty on Appeal</v>
          </cell>
          <cell r="B220">
            <v>12</v>
          </cell>
          <cell r="C220" t="str">
            <v>Long Term Loans &amp; Advances</v>
          </cell>
          <cell r="D220" t="str">
            <v>Balance with Government Authorities</v>
          </cell>
          <cell r="E220">
            <v>0</v>
          </cell>
          <cell r="F220">
            <v>0</v>
          </cell>
          <cell r="G220">
            <v>0</v>
          </cell>
          <cell r="H220">
            <v>0</v>
          </cell>
          <cell r="I220">
            <v>0</v>
          </cell>
          <cell r="J220">
            <v>0</v>
          </cell>
          <cell r="K220">
            <v>0</v>
          </cell>
          <cell r="L220">
            <v>0</v>
          </cell>
          <cell r="M220">
            <v>0</v>
          </cell>
          <cell r="N220">
            <v>0</v>
          </cell>
          <cell r="O220">
            <v>0</v>
          </cell>
          <cell r="P220">
            <v>0</v>
          </cell>
        </row>
        <row r="221">
          <cell r="A221" t="str">
            <v>Exempted Ag. Charcoal Purchase</v>
          </cell>
          <cell r="B221">
            <v>26</v>
          </cell>
          <cell r="C221" t="str">
            <v>Other Expenses</v>
          </cell>
          <cell r="D221" t="str">
            <v>Manufacturing Expenses - Power &amp; Fuel Consumed</v>
          </cell>
          <cell r="E221">
            <v>0</v>
          </cell>
          <cell r="F221">
            <v>0</v>
          </cell>
          <cell r="G221">
            <v>0</v>
          </cell>
          <cell r="H221">
            <v>0</v>
          </cell>
          <cell r="I221">
            <v>0</v>
          </cell>
          <cell r="J221">
            <v>0</v>
          </cell>
          <cell r="K221">
            <v>0</v>
          </cell>
          <cell r="L221">
            <v>0</v>
          </cell>
          <cell r="M221">
            <v>0</v>
          </cell>
          <cell r="N221">
            <v>0</v>
          </cell>
          <cell r="O221">
            <v>0</v>
          </cell>
          <cell r="P221">
            <v>0</v>
          </cell>
        </row>
        <row r="222">
          <cell r="A222" t="str">
            <v>Exempted Ag.Chemical Purchase</v>
          </cell>
          <cell r="B222">
            <v>22</v>
          </cell>
          <cell r="C222" t="str">
            <v>Raw Material Consumed</v>
          </cell>
          <cell r="D222" t="str">
            <v>Raw Material Purchase</v>
          </cell>
          <cell r="E222">
            <v>0</v>
          </cell>
          <cell r="F222">
            <v>0</v>
          </cell>
          <cell r="G222">
            <v>0</v>
          </cell>
          <cell r="H222">
            <v>0</v>
          </cell>
          <cell r="I222">
            <v>0</v>
          </cell>
          <cell r="J222">
            <v>0</v>
          </cell>
          <cell r="K222">
            <v>17535</v>
          </cell>
          <cell r="L222">
            <v>0</v>
          </cell>
          <cell r="M222">
            <v>17535</v>
          </cell>
          <cell r="N222">
            <v>0</v>
          </cell>
          <cell r="O222">
            <v>0</v>
          </cell>
          <cell r="P222">
            <v>0</v>
          </cell>
        </row>
        <row r="223">
          <cell r="A223" t="str">
            <v>Factory Cleaning Charges</v>
          </cell>
          <cell r="B223">
            <v>26</v>
          </cell>
          <cell r="C223" t="str">
            <v>Other Expenses</v>
          </cell>
          <cell r="D223" t="str">
            <v>Manufacturing Expenses - Factory Expenses</v>
          </cell>
          <cell r="E223">
            <v>58090</v>
          </cell>
          <cell r="F223">
            <v>0</v>
          </cell>
          <cell r="G223">
            <v>58090</v>
          </cell>
          <cell r="H223">
            <v>0</v>
          </cell>
          <cell r="I223">
            <v>0</v>
          </cell>
          <cell r="J223">
            <v>0</v>
          </cell>
          <cell r="K223">
            <v>58460</v>
          </cell>
          <cell r="L223">
            <v>0</v>
          </cell>
          <cell r="M223">
            <v>58460</v>
          </cell>
          <cell r="N223">
            <v>0</v>
          </cell>
          <cell r="O223">
            <v>0</v>
          </cell>
          <cell r="P223">
            <v>0</v>
          </cell>
        </row>
        <row r="224">
          <cell r="A224" t="str">
            <v>Factory Misc Expenses</v>
          </cell>
          <cell r="B224">
            <v>26</v>
          </cell>
          <cell r="C224" t="str">
            <v>Other Expenses</v>
          </cell>
          <cell r="D224" t="str">
            <v>Manufacturing Expenses - Factory Expenses</v>
          </cell>
          <cell r="E224">
            <v>242450</v>
          </cell>
          <cell r="F224">
            <v>0</v>
          </cell>
          <cell r="G224">
            <v>242450</v>
          </cell>
          <cell r="H224">
            <v>0</v>
          </cell>
          <cell r="I224">
            <v>0</v>
          </cell>
          <cell r="J224">
            <v>0</v>
          </cell>
          <cell r="K224">
            <v>304200.96999999997</v>
          </cell>
          <cell r="L224">
            <v>0</v>
          </cell>
          <cell r="M224">
            <v>304200.96999999997</v>
          </cell>
          <cell r="N224">
            <v>0</v>
          </cell>
          <cell r="O224">
            <v>0</v>
          </cell>
          <cell r="P224">
            <v>0</v>
          </cell>
        </row>
        <row r="225">
          <cell r="A225" t="str">
            <v>Factory Power &amp; Electricity Charges</v>
          </cell>
          <cell r="B225">
            <v>26</v>
          </cell>
          <cell r="C225" t="str">
            <v>Other Expenses</v>
          </cell>
          <cell r="D225" t="str">
            <v>Manufacturing Expenses - Power &amp; Fuel Consumed</v>
          </cell>
          <cell r="E225">
            <v>70499746</v>
          </cell>
          <cell r="F225">
            <v>0</v>
          </cell>
          <cell r="G225">
            <v>70499746</v>
          </cell>
          <cell r="H225">
            <v>0</v>
          </cell>
          <cell r="I225">
            <v>0</v>
          </cell>
          <cell r="J225">
            <v>0</v>
          </cell>
          <cell r="K225">
            <v>61945705</v>
          </cell>
          <cell r="L225">
            <v>61945696</v>
          </cell>
          <cell r="M225">
            <v>61945705</v>
          </cell>
          <cell r="N225">
            <v>0</v>
          </cell>
          <cell r="O225">
            <v>0</v>
          </cell>
          <cell r="P225">
            <v>0</v>
          </cell>
        </row>
        <row r="226">
          <cell r="A226" t="str">
            <v>Power Incentive Received</v>
          </cell>
          <cell r="B226">
            <v>26</v>
          </cell>
          <cell r="C226" t="str">
            <v>Other Expenses</v>
          </cell>
          <cell r="D226" t="str">
            <v>Manufacturing Expenses - Power &amp; Fuel Consumed</v>
          </cell>
          <cell r="E226">
            <v>0</v>
          </cell>
          <cell r="F226">
            <v>0</v>
          </cell>
          <cell r="G226">
            <v>0</v>
          </cell>
          <cell r="H226">
            <v>0</v>
          </cell>
          <cell r="I226">
            <v>0</v>
          </cell>
          <cell r="J226">
            <v>0</v>
          </cell>
          <cell r="K226">
            <v>0</v>
          </cell>
          <cell r="L226">
            <v>0</v>
          </cell>
          <cell r="M226">
            <v>0</v>
          </cell>
          <cell r="N226">
            <v>205269</v>
          </cell>
          <cell r="O226">
            <v>0</v>
          </cell>
          <cell r="P226">
            <v>205269</v>
          </cell>
        </row>
        <row r="227">
          <cell r="A227" t="str">
            <v>Factory Tea &amp; Other Expenses</v>
          </cell>
          <cell r="B227">
            <v>26</v>
          </cell>
          <cell r="C227" t="str">
            <v>Other Expenses</v>
          </cell>
          <cell r="D227" t="str">
            <v>Manufacturing Expenses - Factory Expenses</v>
          </cell>
          <cell r="E227">
            <v>289245</v>
          </cell>
          <cell r="F227">
            <v>0</v>
          </cell>
          <cell r="G227">
            <v>289245</v>
          </cell>
          <cell r="H227">
            <v>0</v>
          </cell>
          <cell r="I227">
            <v>0</v>
          </cell>
          <cell r="J227">
            <v>0</v>
          </cell>
          <cell r="K227">
            <v>284236</v>
          </cell>
          <cell r="L227">
            <v>0</v>
          </cell>
          <cell r="M227">
            <v>284236</v>
          </cell>
          <cell r="N227">
            <v>0</v>
          </cell>
          <cell r="O227">
            <v>0</v>
          </cell>
          <cell r="P227">
            <v>0</v>
          </cell>
        </row>
        <row r="228">
          <cell r="A228" t="str">
            <v>Fees To Registrar</v>
          </cell>
          <cell r="B228">
            <v>26</v>
          </cell>
          <cell r="C228" t="str">
            <v>Other Expenses</v>
          </cell>
          <cell r="D228" t="str">
            <v>Establishment Expenses-Rates &amp; Taxes</v>
          </cell>
          <cell r="E228">
            <v>50000</v>
          </cell>
          <cell r="F228">
            <v>0</v>
          </cell>
          <cell r="G228">
            <v>50000</v>
          </cell>
          <cell r="H228">
            <v>0</v>
          </cell>
          <cell r="I228">
            <v>0</v>
          </cell>
          <cell r="J228">
            <v>0</v>
          </cell>
          <cell r="K228">
            <v>50000</v>
          </cell>
          <cell r="L228">
            <v>0</v>
          </cell>
          <cell r="M228">
            <v>50000</v>
          </cell>
          <cell r="N228">
            <v>0</v>
          </cell>
          <cell r="O228">
            <v>0</v>
          </cell>
          <cell r="P228">
            <v>0</v>
          </cell>
        </row>
        <row r="229">
          <cell r="A229" t="str">
            <v>Finished Goods Expenses</v>
          </cell>
          <cell r="B229">
            <v>26</v>
          </cell>
          <cell r="C229" t="str">
            <v>Other Expenses</v>
          </cell>
          <cell r="D229" t="str">
            <v>Manufacturing Expenses - Factory Expenses</v>
          </cell>
          <cell r="E229">
            <v>28970.799999999999</v>
          </cell>
          <cell r="F229">
            <v>0</v>
          </cell>
          <cell r="G229">
            <v>28970.799999999999</v>
          </cell>
          <cell r="H229">
            <v>0</v>
          </cell>
          <cell r="I229">
            <v>0</v>
          </cell>
          <cell r="J229">
            <v>0</v>
          </cell>
          <cell r="K229">
            <v>42599</v>
          </cell>
          <cell r="L229">
            <v>0</v>
          </cell>
          <cell r="M229">
            <v>42599</v>
          </cell>
          <cell r="N229">
            <v>0</v>
          </cell>
          <cell r="O229">
            <v>0</v>
          </cell>
          <cell r="P229">
            <v>0</v>
          </cell>
        </row>
        <row r="230">
          <cell r="A230" t="str">
            <v>Finished Goods Packing &amp; Allied Charges</v>
          </cell>
          <cell r="B230">
            <v>26</v>
          </cell>
          <cell r="C230" t="str">
            <v>Other Expenses</v>
          </cell>
          <cell r="D230" t="str">
            <v>Manufacturin Expenses - FG Packing &amp; Allied Chgs</v>
          </cell>
          <cell r="E230">
            <v>2841598</v>
          </cell>
          <cell r="F230">
            <v>0</v>
          </cell>
          <cell r="G230">
            <v>2841598</v>
          </cell>
          <cell r="H230">
            <v>0</v>
          </cell>
          <cell r="I230">
            <v>0</v>
          </cell>
          <cell r="J230">
            <v>0</v>
          </cell>
          <cell r="K230">
            <v>2585804</v>
          </cell>
          <cell r="L230">
            <v>0</v>
          </cell>
          <cell r="M230">
            <v>2585804</v>
          </cell>
          <cell r="N230">
            <v>0</v>
          </cell>
          <cell r="O230">
            <v>0</v>
          </cell>
          <cell r="P230">
            <v>0</v>
          </cell>
        </row>
        <row r="231">
          <cell r="A231" t="str">
            <v>Finished Goods Packing &amp; Allied Payable</v>
          </cell>
          <cell r="B231">
            <v>7</v>
          </cell>
          <cell r="C231" t="str">
            <v>Trade Payables</v>
          </cell>
          <cell r="D231" t="str">
            <v>Trade Payables - Others</v>
          </cell>
          <cell r="E231">
            <v>0</v>
          </cell>
          <cell r="F231">
            <v>0</v>
          </cell>
          <cell r="G231">
            <v>0</v>
          </cell>
          <cell r="H231">
            <v>303501</v>
          </cell>
          <cell r="I231">
            <v>0</v>
          </cell>
          <cell r="J231">
            <v>303501</v>
          </cell>
          <cell r="K231">
            <v>0</v>
          </cell>
          <cell r="L231">
            <v>0</v>
          </cell>
          <cell r="M231">
            <v>0</v>
          </cell>
          <cell r="N231">
            <v>310756</v>
          </cell>
          <cell r="O231">
            <v>0</v>
          </cell>
          <cell r="P231">
            <v>310756</v>
          </cell>
        </row>
        <row r="232">
          <cell r="A232" t="str">
            <v>Fire Fighting Room</v>
          </cell>
          <cell r="B232">
            <v>10</v>
          </cell>
          <cell r="C232" t="str">
            <v>Fixed Assets</v>
          </cell>
          <cell r="D232" t="str">
            <v>Tangible Asset</v>
          </cell>
          <cell r="E232">
            <v>0</v>
          </cell>
          <cell r="F232">
            <v>0</v>
          </cell>
          <cell r="G232">
            <v>0</v>
          </cell>
          <cell r="H232">
            <v>0</v>
          </cell>
          <cell r="I232">
            <v>0</v>
          </cell>
          <cell r="J232">
            <v>0</v>
          </cell>
          <cell r="K232">
            <v>0</v>
          </cell>
          <cell r="L232">
            <v>0</v>
          </cell>
          <cell r="M232">
            <v>0</v>
          </cell>
          <cell r="N232">
            <v>0</v>
          </cell>
          <cell r="O232">
            <v>0</v>
          </cell>
          <cell r="P232">
            <v>0</v>
          </cell>
        </row>
        <row r="233">
          <cell r="A233" t="str">
            <v>First Flight Couriers Ltd.</v>
          </cell>
          <cell r="B233">
            <v>7</v>
          </cell>
          <cell r="C233" t="str">
            <v>Trade Payables</v>
          </cell>
          <cell r="D233" t="str">
            <v>Trade Payables</v>
          </cell>
          <cell r="E233">
            <v>0</v>
          </cell>
          <cell r="F233">
            <v>0</v>
          </cell>
          <cell r="G233">
            <v>0</v>
          </cell>
          <cell r="H233">
            <v>0</v>
          </cell>
          <cell r="I233">
            <v>0</v>
          </cell>
          <cell r="J233">
            <v>0</v>
          </cell>
          <cell r="K233">
            <v>0</v>
          </cell>
          <cell r="L233">
            <v>0</v>
          </cell>
          <cell r="M233">
            <v>0</v>
          </cell>
          <cell r="N233">
            <v>3261</v>
          </cell>
          <cell r="O233">
            <v>0</v>
          </cell>
          <cell r="P233">
            <v>3261</v>
          </cell>
        </row>
        <row r="234">
          <cell r="A234" t="str">
            <v>Flexible Abrasives Pvt.Ltd., Ar'bad</v>
          </cell>
          <cell r="B234">
            <v>7</v>
          </cell>
          <cell r="C234" t="str">
            <v>Trade Payables</v>
          </cell>
          <cell r="D234" t="str">
            <v>Trade Payables</v>
          </cell>
          <cell r="E234">
            <v>0</v>
          </cell>
          <cell r="F234">
            <v>0</v>
          </cell>
          <cell r="G234">
            <v>0</v>
          </cell>
          <cell r="H234">
            <v>0</v>
          </cell>
          <cell r="I234">
            <v>0</v>
          </cell>
          <cell r="J234">
            <v>0</v>
          </cell>
          <cell r="K234">
            <v>0</v>
          </cell>
          <cell r="L234">
            <v>0</v>
          </cell>
          <cell r="M234">
            <v>0</v>
          </cell>
          <cell r="N234">
            <v>26196</v>
          </cell>
          <cell r="O234">
            <v>0</v>
          </cell>
          <cell r="P234">
            <v>26196</v>
          </cell>
        </row>
        <row r="235">
          <cell r="A235" t="str">
            <v>For BG 350000 for WCL :A/c 34928264708</v>
          </cell>
          <cell r="B235">
            <v>13</v>
          </cell>
          <cell r="C235" t="str">
            <v>Other Non-Current Assets</v>
          </cell>
          <cell r="D235" t="str">
            <v>Balance with Bank in Deposit Accounts</v>
          </cell>
          <cell r="E235">
            <v>497672.7</v>
          </cell>
          <cell r="F235">
            <v>0</v>
          </cell>
          <cell r="G235">
            <v>497672.7</v>
          </cell>
          <cell r="H235">
            <v>0</v>
          </cell>
          <cell r="I235">
            <v>0</v>
          </cell>
          <cell r="J235">
            <v>0</v>
          </cell>
          <cell r="K235">
            <v>447710</v>
          </cell>
          <cell r="L235">
            <v>0</v>
          </cell>
          <cell r="M235">
            <v>447710</v>
          </cell>
          <cell r="N235">
            <v>0</v>
          </cell>
          <cell r="O235">
            <v>0</v>
          </cell>
          <cell r="P235">
            <v>0</v>
          </cell>
        </row>
        <row r="236">
          <cell r="A236" t="str">
            <v>For B G Rs.58000/- (AC 325726636355)</v>
          </cell>
          <cell r="B236">
            <v>13</v>
          </cell>
          <cell r="C236" t="str">
            <v>Other Non-Current Assets</v>
          </cell>
          <cell r="D236" t="str">
            <v>Balance with Bank in Deposit Accounts</v>
          </cell>
          <cell r="E236">
            <v>8884.7999999999993</v>
          </cell>
          <cell r="F236">
            <v>0</v>
          </cell>
          <cell r="G236">
            <v>8884.7999999999993</v>
          </cell>
          <cell r="H236">
            <v>0</v>
          </cell>
          <cell r="I236">
            <v>0</v>
          </cell>
          <cell r="J236">
            <v>0</v>
          </cell>
          <cell r="K236">
            <v>0</v>
          </cell>
          <cell r="L236">
            <v>0</v>
          </cell>
          <cell r="M236">
            <v>0</v>
          </cell>
          <cell r="N236">
            <v>0</v>
          </cell>
          <cell r="O236">
            <v>0</v>
          </cell>
          <cell r="P236">
            <v>0</v>
          </cell>
        </row>
        <row r="237">
          <cell r="A237" t="str">
            <v>For BG[MSEB] 12.50 LAC :A/c 35633066338</v>
          </cell>
          <cell r="B237">
            <v>13</v>
          </cell>
          <cell r="C237" t="str">
            <v>Other Non-Current Assets</v>
          </cell>
          <cell r="D237" t="str">
            <v>Balance with Bank in Deposit Accounts</v>
          </cell>
          <cell r="E237">
            <v>1626364.16</v>
          </cell>
          <cell r="F237">
            <v>0</v>
          </cell>
          <cell r="G237">
            <v>1626364.16</v>
          </cell>
          <cell r="H237">
            <v>0</v>
          </cell>
          <cell r="I237">
            <v>0</v>
          </cell>
          <cell r="J237">
            <v>0</v>
          </cell>
          <cell r="K237">
            <v>1508572</v>
          </cell>
          <cell r="L237">
            <v>0</v>
          </cell>
          <cell r="M237">
            <v>1508572</v>
          </cell>
          <cell r="N237">
            <v>0</v>
          </cell>
          <cell r="O237">
            <v>0</v>
          </cell>
          <cell r="P237">
            <v>0</v>
          </cell>
        </row>
        <row r="238">
          <cell r="A238" t="str">
            <v>Foreign Exchange Fluctuation</v>
          </cell>
          <cell r="B238">
            <v>20</v>
          </cell>
          <cell r="C238" t="str">
            <v>Other Income</v>
          </cell>
          <cell r="D238" t="str">
            <v>Foreign Exchange Fluctuation Gain on RM</v>
          </cell>
          <cell r="E238">
            <v>0</v>
          </cell>
          <cell r="F238">
            <v>0</v>
          </cell>
          <cell r="G238">
            <v>0</v>
          </cell>
          <cell r="H238">
            <v>627784</v>
          </cell>
          <cell r="I238">
            <v>0</v>
          </cell>
          <cell r="J238">
            <v>627784</v>
          </cell>
          <cell r="K238">
            <v>0</v>
          </cell>
          <cell r="L238">
            <v>0</v>
          </cell>
          <cell r="M238">
            <v>0</v>
          </cell>
          <cell r="N238">
            <v>772877</v>
          </cell>
          <cell r="O238">
            <v>0</v>
          </cell>
          <cell r="P238">
            <v>772877</v>
          </cell>
        </row>
        <row r="239">
          <cell r="A239" t="str">
            <v>Profit on Sale of Asset</v>
          </cell>
          <cell r="B239">
            <v>20</v>
          </cell>
          <cell r="C239" t="str">
            <v>Other Income</v>
          </cell>
          <cell r="D239" t="str">
            <v>Profit on Sale of Asset</v>
          </cell>
          <cell r="E239">
            <v>0</v>
          </cell>
          <cell r="F239">
            <v>0</v>
          </cell>
          <cell r="G239">
            <v>0</v>
          </cell>
          <cell r="H239">
            <v>19904</v>
          </cell>
          <cell r="I239">
            <v>0</v>
          </cell>
          <cell r="J239">
            <v>19904</v>
          </cell>
          <cell r="K239">
            <v>0</v>
          </cell>
          <cell r="L239">
            <v>0</v>
          </cell>
          <cell r="M239">
            <v>0</v>
          </cell>
          <cell r="N239">
            <v>0</v>
          </cell>
          <cell r="O239">
            <v>0</v>
          </cell>
          <cell r="P239">
            <v>0</v>
          </cell>
        </row>
        <row r="240">
          <cell r="A240" t="str">
            <v>Assessment Refund</v>
          </cell>
          <cell r="B240">
            <v>20</v>
          </cell>
          <cell r="C240" t="str">
            <v>Other Income</v>
          </cell>
          <cell r="D240" t="str">
            <v>Assessment Refund</v>
          </cell>
          <cell r="E240">
            <v>0</v>
          </cell>
          <cell r="F240">
            <v>0</v>
          </cell>
          <cell r="G240">
            <v>0</v>
          </cell>
          <cell r="H240">
            <v>6442</v>
          </cell>
          <cell r="I240">
            <v>0</v>
          </cell>
          <cell r="J240">
            <v>6442</v>
          </cell>
          <cell r="K240">
            <v>0</v>
          </cell>
          <cell r="L240">
            <v>0</v>
          </cell>
          <cell r="M240">
            <v>0</v>
          </cell>
          <cell r="N240">
            <v>0</v>
          </cell>
          <cell r="O240">
            <v>0</v>
          </cell>
          <cell r="P240">
            <v>0</v>
          </cell>
        </row>
        <row r="241">
          <cell r="A241" t="str">
            <v>Franking Charges for Import O.C.C.</v>
          </cell>
          <cell r="B241">
            <v>22</v>
          </cell>
          <cell r="C241" t="str">
            <v>Raw Material Consumed</v>
          </cell>
          <cell r="D241" t="str">
            <v>Raw Material Purchase</v>
          </cell>
          <cell r="E241">
            <v>358420</v>
          </cell>
          <cell r="F241">
            <v>0</v>
          </cell>
          <cell r="G241">
            <v>358420</v>
          </cell>
          <cell r="H241">
            <v>0</v>
          </cell>
          <cell r="I241">
            <v>0</v>
          </cell>
          <cell r="J241">
            <v>0</v>
          </cell>
          <cell r="K241">
            <v>302265</v>
          </cell>
          <cell r="L241">
            <v>0</v>
          </cell>
          <cell r="M241">
            <v>302265</v>
          </cell>
          <cell r="N241">
            <v>0</v>
          </cell>
          <cell r="O241">
            <v>0</v>
          </cell>
          <cell r="P241">
            <v>0</v>
          </cell>
        </row>
        <row r="242">
          <cell r="A242" t="str">
            <v>Freehold Land</v>
          </cell>
          <cell r="B242">
            <v>10</v>
          </cell>
          <cell r="C242" t="str">
            <v>Fixed Assets</v>
          </cell>
          <cell r="D242" t="str">
            <v>Tangible Asset</v>
          </cell>
          <cell r="E242">
            <v>33965000</v>
          </cell>
          <cell r="F242">
            <v>0</v>
          </cell>
          <cell r="G242">
            <v>33965000</v>
          </cell>
          <cell r="H242">
            <v>0</v>
          </cell>
          <cell r="I242">
            <v>0</v>
          </cell>
          <cell r="J242">
            <v>0</v>
          </cell>
          <cell r="K242">
            <v>33965000</v>
          </cell>
          <cell r="L242">
            <v>0</v>
          </cell>
          <cell r="M242">
            <v>33965000</v>
          </cell>
          <cell r="N242">
            <v>0</v>
          </cell>
          <cell r="O242">
            <v>0</v>
          </cell>
          <cell r="P242">
            <v>0</v>
          </cell>
        </row>
        <row r="243">
          <cell r="A243" t="str">
            <v>FREIGHT ( SALES)</v>
          </cell>
          <cell r="B243">
            <v>19</v>
          </cell>
          <cell r="C243" t="str">
            <v>Revenue From Operations</v>
          </cell>
          <cell r="D243" t="str">
            <v>Sale of Goods - Manufacturing Sales</v>
          </cell>
          <cell r="E243">
            <v>0</v>
          </cell>
          <cell r="F243">
            <v>0</v>
          </cell>
          <cell r="G243">
            <v>0</v>
          </cell>
          <cell r="H243">
            <v>1160</v>
          </cell>
          <cell r="I243">
            <v>0</v>
          </cell>
          <cell r="J243">
            <v>1160</v>
          </cell>
          <cell r="K243">
            <v>0</v>
          </cell>
          <cell r="L243">
            <v>0</v>
          </cell>
          <cell r="M243">
            <v>0</v>
          </cell>
          <cell r="N243">
            <v>0</v>
          </cell>
          <cell r="O243">
            <v>0</v>
          </cell>
          <cell r="P243">
            <v>0</v>
          </cell>
        </row>
        <row r="244">
          <cell r="A244" t="str">
            <v>Furniture &amp; Fixture</v>
          </cell>
          <cell r="B244">
            <v>10</v>
          </cell>
          <cell r="C244" t="str">
            <v>Fixed Assets</v>
          </cell>
          <cell r="D244" t="str">
            <v>Tangible Asset</v>
          </cell>
          <cell r="E244">
            <v>1820294</v>
          </cell>
          <cell r="F244">
            <v>0</v>
          </cell>
          <cell r="G244">
            <v>1820294</v>
          </cell>
          <cell r="H244">
            <v>0</v>
          </cell>
          <cell r="I244">
            <v>0</v>
          </cell>
          <cell r="J244">
            <v>0</v>
          </cell>
          <cell r="K244">
            <v>1820294</v>
          </cell>
          <cell r="L244">
            <v>0</v>
          </cell>
          <cell r="M244">
            <v>1820294</v>
          </cell>
          <cell r="N244">
            <v>0</v>
          </cell>
          <cell r="O244">
            <v>0</v>
          </cell>
          <cell r="P244">
            <v>0</v>
          </cell>
        </row>
        <row r="245">
          <cell r="A245" t="str">
            <v>Ganga Iron &amp; Steel Trading Co.Ltd.</v>
          </cell>
          <cell r="B245">
            <v>7</v>
          </cell>
          <cell r="C245" t="str">
            <v>Trade Payables</v>
          </cell>
          <cell r="D245" t="str">
            <v>Trade Payables</v>
          </cell>
          <cell r="E245">
            <v>0</v>
          </cell>
          <cell r="F245">
            <v>0</v>
          </cell>
          <cell r="G245">
            <v>0</v>
          </cell>
          <cell r="H245">
            <v>136007</v>
          </cell>
          <cell r="I245">
            <v>0</v>
          </cell>
          <cell r="J245">
            <v>136007</v>
          </cell>
          <cell r="K245">
            <v>44880</v>
          </cell>
          <cell r="L245">
            <v>0</v>
          </cell>
          <cell r="M245">
            <v>44880</v>
          </cell>
          <cell r="N245">
            <v>0</v>
          </cell>
          <cell r="O245">
            <v>0</v>
          </cell>
          <cell r="P245">
            <v>0</v>
          </cell>
        </row>
        <row r="246">
          <cell r="A246" t="str">
            <v>Ganpat Steel Industries</v>
          </cell>
          <cell r="B246">
            <v>7</v>
          </cell>
          <cell r="C246" t="str">
            <v>Trade Payables</v>
          </cell>
          <cell r="D246" t="str">
            <v>Trade Payables</v>
          </cell>
          <cell r="E246">
            <v>0</v>
          </cell>
          <cell r="F246">
            <v>0</v>
          </cell>
          <cell r="G246">
            <v>0</v>
          </cell>
          <cell r="H246">
            <v>0</v>
          </cell>
          <cell r="I246">
            <v>0</v>
          </cell>
          <cell r="J246">
            <v>0</v>
          </cell>
          <cell r="K246">
            <v>0</v>
          </cell>
          <cell r="L246">
            <v>0</v>
          </cell>
          <cell r="M246">
            <v>0</v>
          </cell>
          <cell r="N246">
            <v>979375</v>
          </cell>
          <cell r="O246">
            <v>0</v>
          </cell>
          <cell r="P246">
            <v>979375</v>
          </cell>
        </row>
        <row r="247">
          <cell r="A247" t="str">
            <v>GAURAV LAKHOTIYA</v>
          </cell>
          <cell r="B247">
            <v>6</v>
          </cell>
          <cell r="C247" t="str">
            <v>Short Term Borrowings</v>
          </cell>
          <cell r="D247" t="str">
            <v>Unsecured-From Related Party</v>
          </cell>
          <cell r="E247">
            <v>0</v>
          </cell>
          <cell r="F247">
            <v>0</v>
          </cell>
          <cell r="G247">
            <v>0</v>
          </cell>
          <cell r="H247">
            <v>0</v>
          </cell>
          <cell r="I247">
            <v>0</v>
          </cell>
          <cell r="J247">
            <v>0</v>
          </cell>
          <cell r="K247">
            <v>0</v>
          </cell>
          <cell r="L247">
            <v>0</v>
          </cell>
          <cell r="M247">
            <v>0</v>
          </cell>
          <cell r="N247">
            <v>0</v>
          </cell>
          <cell r="O247">
            <v>0</v>
          </cell>
          <cell r="P247">
            <v>0</v>
          </cell>
        </row>
        <row r="248">
          <cell r="A248" t="str">
            <v>General Reserves</v>
          </cell>
          <cell r="B248">
            <v>3</v>
          </cell>
          <cell r="C248" t="str">
            <v>Reserves &amp; Surplus</v>
          </cell>
          <cell r="D248" t="str">
            <v>General Reserve</v>
          </cell>
          <cell r="E248">
            <v>0</v>
          </cell>
          <cell r="F248">
            <v>0</v>
          </cell>
          <cell r="G248">
            <v>0</v>
          </cell>
          <cell r="H248">
            <v>1800000</v>
          </cell>
          <cell r="I248">
            <v>0</v>
          </cell>
          <cell r="J248">
            <v>1800000</v>
          </cell>
          <cell r="K248">
            <v>0</v>
          </cell>
          <cell r="L248">
            <v>0</v>
          </cell>
          <cell r="M248">
            <v>0</v>
          </cell>
          <cell r="N248">
            <v>1800000</v>
          </cell>
          <cell r="O248">
            <v>0</v>
          </cell>
          <cell r="P248">
            <v>1800000</v>
          </cell>
        </row>
        <row r="249">
          <cell r="A249" t="str">
            <v>Girish Murarka &amp; Co., Mumbai</v>
          </cell>
          <cell r="B249">
            <v>17</v>
          </cell>
          <cell r="C249" t="str">
            <v>Short Term Loans &amp; Advances</v>
          </cell>
          <cell r="D249" t="str">
            <v>Advance to Suppliers</v>
          </cell>
          <cell r="E249">
            <v>0</v>
          </cell>
          <cell r="F249">
            <v>0</v>
          </cell>
          <cell r="G249">
            <v>0</v>
          </cell>
          <cell r="H249">
            <v>0</v>
          </cell>
          <cell r="I249">
            <v>0</v>
          </cell>
          <cell r="J249">
            <v>0</v>
          </cell>
          <cell r="K249">
            <v>0</v>
          </cell>
          <cell r="L249">
            <v>0</v>
          </cell>
          <cell r="M249">
            <v>0</v>
          </cell>
          <cell r="N249">
            <v>0</v>
          </cell>
          <cell r="O249">
            <v>0</v>
          </cell>
          <cell r="P249">
            <v>0</v>
          </cell>
        </row>
        <row r="250">
          <cell r="A250" t="str">
            <v>Globe Engineering Company</v>
          </cell>
          <cell r="B250">
            <v>7</v>
          </cell>
          <cell r="C250" t="str">
            <v>Trade Payables</v>
          </cell>
          <cell r="D250" t="str">
            <v>Trade Payables</v>
          </cell>
          <cell r="E250">
            <v>0</v>
          </cell>
          <cell r="F250">
            <v>0</v>
          </cell>
          <cell r="G250">
            <v>0</v>
          </cell>
          <cell r="H250">
            <v>0</v>
          </cell>
          <cell r="I250">
            <v>0</v>
          </cell>
          <cell r="J250">
            <v>0</v>
          </cell>
          <cell r="K250">
            <v>0</v>
          </cell>
          <cell r="L250">
            <v>0</v>
          </cell>
          <cell r="M250">
            <v>0</v>
          </cell>
          <cell r="N250">
            <v>153329</v>
          </cell>
          <cell r="O250">
            <v>0</v>
          </cell>
          <cell r="P250">
            <v>153329</v>
          </cell>
        </row>
        <row r="251">
          <cell r="A251" t="str">
            <v>Gratuity To Staff</v>
          </cell>
          <cell r="B251">
            <v>24</v>
          </cell>
          <cell r="C251" t="str">
            <v>Employee Benefit Expenses</v>
          </cell>
          <cell r="D251" t="str">
            <v>Contribution to Funds</v>
          </cell>
          <cell r="E251">
            <v>1140149</v>
          </cell>
          <cell r="F251">
            <v>0</v>
          </cell>
          <cell r="G251">
            <v>1140149</v>
          </cell>
          <cell r="H251">
            <v>0</v>
          </cell>
          <cell r="I251">
            <v>0</v>
          </cell>
          <cell r="J251">
            <v>0</v>
          </cell>
          <cell r="K251">
            <v>1118356</v>
          </cell>
          <cell r="L251">
            <v>0</v>
          </cell>
          <cell r="M251">
            <v>1118356</v>
          </cell>
          <cell r="N251">
            <v>0</v>
          </cell>
          <cell r="O251">
            <v>0</v>
          </cell>
          <cell r="P251">
            <v>0</v>
          </cell>
        </row>
        <row r="252">
          <cell r="A252" t="str">
            <v>GST Audit Fees</v>
          </cell>
          <cell r="B252">
            <v>26</v>
          </cell>
          <cell r="C252" t="str">
            <v>Other Expenses</v>
          </cell>
          <cell r="D252" t="str">
            <v>Establishment Expenses-Legal &amp; Professional Charges</v>
          </cell>
          <cell r="E252">
            <v>40000</v>
          </cell>
          <cell r="F252">
            <v>0</v>
          </cell>
          <cell r="G252">
            <v>40000</v>
          </cell>
          <cell r="H252">
            <v>0</v>
          </cell>
          <cell r="I252">
            <v>0</v>
          </cell>
          <cell r="J252">
            <v>0</v>
          </cell>
          <cell r="K252">
            <v>30000</v>
          </cell>
          <cell r="L252">
            <v>0</v>
          </cell>
          <cell r="M252">
            <v>30000</v>
          </cell>
          <cell r="N252">
            <v>0</v>
          </cell>
          <cell r="O252">
            <v>0</v>
          </cell>
          <cell r="P252">
            <v>0</v>
          </cell>
        </row>
        <row r="253">
          <cell r="A253" t="str">
            <v>GST Audit Fees (Shah Baheti Chandak)</v>
          </cell>
          <cell r="B253">
            <v>26</v>
          </cell>
          <cell r="C253" t="str">
            <v>Other Expenses</v>
          </cell>
          <cell r="D253" t="str">
            <v>Establishment Expenses-Legal &amp; Professional Charges</v>
          </cell>
          <cell r="E253">
            <v>0</v>
          </cell>
          <cell r="F253">
            <v>0</v>
          </cell>
          <cell r="G253">
            <v>0</v>
          </cell>
          <cell r="H253">
            <v>0</v>
          </cell>
          <cell r="I253">
            <v>0</v>
          </cell>
          <cell r="J253">
            <v>0</v>
          </cell>
          <cell r="K253">
            <v>22500</v>
          </cell>
          <cell r="L253">
            <v>0</v>
          </cell>
          <cell r="M253">
            <v>22500</v>
          </cell>
          <cell r="N253">
            <v>0</v>
          </cell>
          <cell r="O253">
            <v>0</v>
          </cell>
          <cell r="P253">
            <v>0</v>
          </cell>
        </row>
        <row r="254">
          <cell r="A254" t="str">
            <v>Gujrat Ambuja Exports Ltd.,</v>
          </cell>
          <cell r="B254">
            <v>7</v>
          </cell>
          <cell r="C254" t="str">
            <v>Trade Payables</v>
          </cell>
          <cell r="D254" t="str">
            <v>Trade Payables</v>
          </cell>
          <cell r="E254">
            <v>0</v>
          </cell>
          <cell r="F254">
            <v>0</v>
          </cell>
          <cell r="G254">
            <v>0</v>
          </cell>
          <cell r="H254">
            <v>2016000</v>
          </cell>
          <cell r="I254">
            <v>0</v>
          </cell>
          <cell r="J254">
            <v>2016000</v>
          </cell>
          <cell r="K254">
            <v>0</v>
          </cell>
          <cell r="L254">
            <v>0</v>
          </cell>
          <cell r="M254">
            <v>0</v>
          </cell>
          <cell r="N254">
            <v>0</v>
          </cell>
          <cell r="O254">
            <v>0</v>
          </cell>
          <cell r="P254">
            <v>0</v>
          </cell>
        </row>
        <row r="255">
          <cell r="A255" t="str">
            <v>Hazelkaur Manindersingh Saini</v>
          </cell>
          <cell r="B255">
            <v>4</v>
          </cell>
          <cell r="C255" t="str">
            <v>Long Term Borrowings</v>
          </cell>
          <cell r="D255" t="str">
            <v>Unsecured-From Related Party</v>
          </cell>
          <cell r="E255">
            <v>0</v>
          </cell>
          <cell r="F255">
            <v>0</v>
          </cell>
          <cell r="G255">
            <v>0</v>
          </cell>
          <cell r="H255">
            <v>1093348</v>
          </cell>
          <cell r="I255">
            <v>0</v>
          </cell>
          <cell r="J255">
            <v>1093348</v>
          </cell>
          <cell r="K255">
            <v>0</v>
          </cell>
          <cell r="L255">
            <v>0</v>
          </cell>
          <cell r="M255">
            <v>0</v>
          </cell>
          <cell r="N255">
            <v>1000000</v>
          </cell>
          <cell r="O255">
            <v>0</v>
          </cell>
          <cell r="P255">
            <v>1000000</v>
          </cell>
        </row>
        <row r="256">
          <cell r="A256" t="str">
            <v>Hemant Mahure</v>
          </cell>
          <cell r="B256">
            <v>12</v>
          </cell>
          <cell r="C256" t="str">
            <v>Long Term Loans &amp; Advances</v>
          </cell>
          <cell r="D256" t="str">
            <v>Loans and Advances to Employees</v>
          </cell>
          <cell r="E256">
            <v>38000</v>
          </cell>
          <cell r="F256">
            <v>0</v>
          </cell>
          <cell r="G256">
            <v>38000</v>
          </cell>
          <cell r="H256">
            <v>0</v>
          </cell>
          <cell r="I256">
            <v>0</v>
          </cell>
          <cell r="J256">
            <v>0</v>
          </cell>
          <cell r="K256">
            <v>53500</v>
          </cell>
          <cell r="L256">
            <v>0</v>
          </cell>
          <cell r="M256">
            <v>53500</v>
          </cell>
          <cell r="N256">
            <v>0</v>
          </cell>
          <cell r="O256">
            <v>0</v>
          </cell>
          <cell r="P256">
            <v>0</v>
          </cell>
        </row>
        <row r="257">
          <cell r="A257" t="str">
            <v>Hindustan Mill Stores, Nagpur</v>
          </cell>
          <cell r="B257">
            <v>7</v>
          </cell>
          <cell r="C257" t="str">
            <v>Trade Payables</v>
          </cell>
          <cell r="D257" t="str">
            <v>Trade Payables</v>
          </cell>
          <cell r="E257">
            <v>0</v>
          </cell>
          <cell r="F257">
            <v>0</v>
          </cell>
          <cell r="G257">
            <v>0</v>
          </cell>
          <cell r="H257">
            <v>67845.8</v>
          </cell>
          <cell r="I257">
            <v>0</v>
          </cell>
          <cell r="J257">
            <v>67845.8</v>
          </cell>
          <cell r="K257">
            <v>0</v>
          </cell>
          <cell r="L257">
            <v>0</v>
          </cell>
          <cell r="M257">
            <v>0</v>
          </cell>
          <cell r="N257">
            <v>0</v>
          </cell>
          <cell r="O257">
            <v>0</v>
          </cell>
          <cell r="P257">
            <v>0</v>
          </cell>
        </row>
        <row r="258">
          <cell r="A258" t="str">
            <v>HORIZON PACKS PVT. LTD.</v>
          </cell>
          <cell r="B258">
            <v>15</v>
          </cell>
          <cell r="C258" t="str">
            <v>Trade Receivables</v>
          </cell>
          <cell r="D258" t="str">
            <v>Trade Receivables</v>
          </cell>
          <cell r="E258">
            <v>0</v>
          </cell>
          <cell r="F258">
            <v>0</v>
          </cell>
          <cell r="G258">
            <v>0</v>
          </cell>
          <cell r="H258">
            <v>0</v>
          </cell>
          <cell r="I258">
            <v>0</v>
          </cell>
          <cell r="J258">
            <v>0</v>
          </cell>
          <cell r="K258">
            <v>1729264</v>
          </cell>
          <cell r="L258">
            <v>0</v>
          </cell>
          <cell r="M258">
            <v>1729264</v>
          </cell>
          <cell r="N258">
            <v>0</v>
          </cell>
          <cell r="O258">
            <v>0</v>
          </cell>
          <cell r="P258">
            <v>0</v>
          </cell>
        </row>
        <row r="259">
          <cell r="A259" t="str">
            <v>House Rent</v>
          </cell>
          <cell r="B259">
            <v>26</v>
          </cell>
          <cell r="C259" t="str">
            <v>Other Expenses</v>
          </cell>
          <cell r="D259" t="str">
            <v>Establishment Expenses-Rent</v>
          </cell>
          <cell r="E259">
            <v>0</v>
          </cell>
          <cell r="F259">
            <v>0</v>
          </cell>
          <cell r="G259">
            <v>0</v>
          </cell>
          <cell r="H259">
            <v>0</v>
          </cell>
          <cell r="I259">
            <v>0</v>
          </cell>
          <cell r="J259">
            <v>0</v>
          </cell>
          <cell r="K259">
            <v>26000</v>
          </cell>
          <cell r="L259">
            <v>0</v>
          </cell>
          <cell r="M259">
            <v>26000</v>
          </cell>
          <cell r="N259">
            <v>0</v>
          </cell>
          <cell r="O259">
            <v>0</v>
          </cell>
          <cell r="P259">
            <v>0</v>
          </cell>
        </row>
        <row r="260">
          <cell r="A260" t="str">
            <v>IGST Payable ( F. Y. 2018-19)</v>
          </cell>
          <cell r="B260">
            <v>8</v>
          </cell>
          <cell r="C260" t="str">
            <v>Other Current Liabilities</v>
          </cell>
          <cell r="D260" t="str">
            <v>Statutory Dues</v>
          </cell>
          <cell r="E260">
            <v>0</v>
          </cell>
          <cell r="F260">
            <v>0</v>
          </cell>
          <cell r="G260">
            <v>0</v>
          </cell>
          <cell r="H260">
            <v>0</v>
          </cell>
          <cell r="I260">
            <v>0</v>
          </cell>
          <cell r="J260">
            <v>0</v>
          </cell>
          <cell r="K260">
            <v>10786.59</v>
          </cell>
          <cell r="L260">
            <v>0</v>
          </cell>
          <cell r="M260">
            <v>10786.59</v>
          </cell>
          <cell r="N260">
            <v>0</v>
          </cell>
          <cell r="O260">
            <v>0</v>
          </cell>
          <cell r="P260">
            <v>0</v>
          </cell>
        </row>
        <row r="261">
          <cell r="A261" t="str">
            <v>IGST Payable (F.Y. 2017-18)</v>
          </cell>
          <cell r="B261">
            <v>8</v>
          </cell>
          <cell r="C261" t="str">
            <v>Other Current Liabilities</v>
          </cell>
          <cell r="D261" t="str">
            <v>Statutory Dues</v>
          </cell>
          <cell r="E261">
            <v>0</v>
          </cell>
          <cell r="F261">
            <v>0</v>
          </cell>
          <cell r="G261">
            <v>0</v>
          </cell>
          <cell r="H261">
            <v>0</v>
          </cell>
          <cell r="I261">
            <v>0</v>
          </cell>
          <cell r="J261">
            <v>0</v>
          </cell>
          <cell r="K261">
            <v>18000</v>
          </cell>
          <cell r="L261">
            <v>0</v>
          </cell>
          <cell r="M261">
            <v>18000</v>
          </cell>
          <cell r="N261">
            <v>0</v>
          </cell>
          <cell r="O261">
            <v>0</v>
          </cell>
          <cell r="P261">
            <v>0</v>
          </cell>
        </row>
        <row r="262">
          <cell r="A262" t="str">
            <v>Import Waste Paper Purchase</v>
          </cell>
          <cell r="B262">
            <v>22</v>
          </cell>
          <cell r="C262" t="str">
            <v>Raw Material Consumed</v>
          </cell>
          <cell r="D262" t="str">
            <v>Raw Material Purchase</v>
          </cell>
          <cell r="E262">
            <v>119902440.14</v>
          </cell>
          <cell r="F262">
            <v>0</v>
          </cell>
          <cell r="G262">
            <v>119902440.14</v>
          </cell>
          <cell r="H262">
            <v>0</v>
          </cell>
          <cell r="I262">
            <v>0</v>
          </cell>
          <cell r="J262">
            <v>0</v>
          </cell>
          <cell r="K262">
            <v>127006722.05</v>
          </cell>
          <cell r="L262">
            <v>0</v>
          </cell>
          <cell r="M262">
            <v>127006722.05</v>
          </cell>
          <cell r="N262">
            <v>0</v>
          </cell>
          <cell r="O262">
            <v>0</v>
          </cell>
          <cell r="P262">
            <v>0</v>
          </cell>
        </row>
        <row r="263">
          <cell r="A263" t="str">
            <v>Incentive/ Bonus Payable</v>
          </cell>
          <cell r="B263">
            <v>9</v>
          </cell>
          <cell r="C263" t="str">
            <v>Short Term Provision</v>
          </cell>
          <cell r="D263" t="str">
            <v>Provision for Employee Benefit</v>
          </cell>
          <cell r="E263">
            <v>0</v>
          </cell>
          <cell r="F263">
            <v>0</v>
          </cell>
          <cell r="G263">
            <v>0</v>
          </cell>
          <cell r="H263">
            <v>1259230</v>
          </cell>
          <cell r="I263">
            <v>0</v>
          </cell>
          <cell r="J263">
            <v>1259230</v>
          </cell>
          <cell r="K263">
            <v>0</v>
          </cell>
          <cell r="L263">
            <v>0</v>
          </cell>
          <cell r="M263">
            <v>0</v>
          </cell>
          <cell r="N263">
            <v>1265155</v>
          </cell>
          <cell r="O263">
            <v>0</v>
          </cell>
          <cell r="P263">
            <v>1265155</v>
          </cell>
        </row>
        <row r="264">
          <cell r="A264" t="str">
            <v>Incentive/ Bonus to Staff</v>
          </cell>
          <cell r="B264">
            <v>24</v>
          </cell>
          <cell r="C264" t="str">
            <v>Employee Benefit Expenses</v>
          </cell>
          <cell r="D264" t="str">
            <v>Salary &amp; Wages</v>
          </cell>
          <cell r="E264">
            <v>1259230</v>
          </cell>
          <cell r="F264">
            <v>0</v>
          </cell>
          <cell r="G264">
            <v>1259230</v>
          </cell>
          <cell r="H264">
            <v>0</v>
          </cell>
          <cell r="I264">
            <v>0</v>
          </cell>
          <cell r="J264">
            <v>0</v>
          </cell>
          <cell r="K264">
            <v>1265155</v>
          </cell>
          <cell r="L264">
            <v>0</v>
          </cell>
          <cell r="M264">
            <v>1265155</v>
          </cell>
          <cell r="N264">
            <v>0</v>
          </cell>
          <cell r="O264">
            <v>0</v>
          </cell>
          <cell r="P264">
            <v>0</v>
          </cell>
        </row>
        <row r="265">
          <cell r="A265" t="str">
            <v>Income From Power Claim</v>
          </cell>
          <cell r="B265">
            <v>20</v>
          </cell>
          <cell r="C265" t="str">
            <v>OTHER INCOME</v>
          </cell>
          <cell r="D265" t="str">
            <v>OTHER INCOME</v>
          </cell>
          <cell r="E265">
            <v>0</v>
          </cell>
          <cell r="F265">
            <v>0</v>
          </cell>
          <cell r="G265">
            <v>0</v>
          </cell>
          <cell r="H265">
            <v>0</v>
          </cell>
          <cell r="I265">
            <v>0</v>
          </cell>
          <cell r="J265">
            <v>0</v>
          </cell>
          <cell r="K265">
            <v>0</v>
          </cell>
          <cell r="L265">
            <v>0</v>
          </cell>
          <cell r="M265">
            <v>0</v>
          </cell>
          <cell r="N265">
            <v>0</v>
          </cell>
          <cell r="O265">
            <v>0</v>
          </cell>
          <cell r="P265">
            <v>0</v>
          </cell>
        </row>
        <row r="266">
          <cell r="A266" t="str">
            <v>Income Tax Demand A.Y. 2005-06</v>
          </cell>
          <cell r="B266">
            <v>12</v>
          </cell>
          <cell r="C266" t="str">
            <v>Long Term Loans &amp; Advances</v>
          </cell>
          <cell r="D266" t="str">
            <v>Advance Income Tax</v>
          </cell>
          <cell r="E266">
            <v>0</v>
          </cell>
          <cell r="F266">
            <v>0</v>
          </cell>
          <cell r="G266">
            <v>0</v>
          </cell>
          <cell r="H266">
            <v>0</v>
          </cell>
          <cell r="I266">
            <v>0</v>
          </cell>
          <cell r="J266">
            <v>0</v>
          </cell>
          <cell r="K266">
            <v>0</v>
          </cell>
          <cell r="L266">
            <v>0</v>
          </cell>
          <cell r="M266">
            <v>0</v>
          </cell>
          <cell r="N266">
            <v>0</v>
          </cell>
          <cell r="O266">
            <v>0</v>
          </cell>
          <cell r="P266">
            <v>0</v>
          </cell>
        </row>
        <row r="267">
          <cell r="A267" t="str">
            <v>Income Tax Payable A.Y. 14-15</v>
          </cell>
          <cell r="B267">
            <v>12</v>
          </cell>
          <cell r="C267" t="str">
            <v>Long Term Loans &amp; Advances</v>
          </cell>
          <cell r="D267" t="str">
            <v>Advance Income Tax</v>
          </cell>
          <cell r="E267">
            <v>0</v>
          </cell>
          <cell r="F267">
            <v>0</v>
          </cell>
          <cell r="G267">
            <v>0</v>
          </cell>
          <cell r="H267">
            <v>0</v>
          </cell>
          <cell r="I267">
            <v>0</v>
          </cell>
          <cell r="J267">
            <v>0</v>
          </cell>
          <cell r="K267">
            <v>0</v>
          </cell>
          <cell r="L267">
            <v>0</v>
          </cell>
          <cell r="M267">
            <v>0</v>
          </cell>
          <cell r="N267">
            <v>0</v>
          </cell>
          <cell r="O267">
            <v>0</v>
          </cell>
          <cell r="P267">
            <v>0</v>
          </cell>
        </row>
        <row r="268">
          <cell r="A268" t="str">
            <v>Inder Trade &amp; Industry, Bikaner</v>
          </cell>
          <cell r="B268">
            <v>7</v>
          </cell>
          <cell r="C268" t="str">
            <v>Trade Payables</v>
          </cell>
          <cell r="D268" t="str">
            <v>Trade Payables</v>
          </cell>
          <cell r="E268">
            <v>0</v>
          </cell>
          <cell r="F268">
            <v>0</v>
          </cell>
          <cell r="G268">
            <v>0</v>
          </cell>
          <cell r="H268">
            <v>0</v>
          </cell>
          <cell r="I268">
            <v>0</v>
          </cell>
          <cell r="J268">
            <v>0</v>
          </cell>
          <cell r="K268">
            <v>0</v>
          </cell>
          <cell r="L268">
            <v>0</v>
          </cell>
          <cell r="M268">
            <v>0</v>
          </cell>
          <cell r="N268">
            <v>336300</v>
          </cell>
          <cell r="O268">
            <v>0</v>
          </cell>
          <cell r="P268">
            <v>336300</v>
          </cell>
        </row>
        <row r="269">
          <cell r="A269" t="str">
            <v>Indocast Industries</v>
          </cell>
          <cell r="B269">
            <v>7</v>
          </cell>
          <cell r="C269" t="str">
            <v>Trade Payables</v>
          </cell>
          <cell r="D269" t="str">
            <v>Trade Payables</v>
          </cell>
          <cell r="E269">
            <v>0</v>
          </cell>
          <cell r="F269">
            <v>0</v>
          </cell>
          <cell r="G269">
            <v>0</v>
          </cell>
          <cell r="H269">
            <v>102556</v>
          </cell>
          <cell r="I269">
            <v>0</v>
          </cell>
          <cell r="J269">
            <v>102556</v>
          </cell>
          <cell r="K269">
            <v>0</v>
          </cell>
          <cell r="L269">
            <v>0</v>
          </cell>
          <cell r="M269">
            <v>0</v>
          </cell>
          <cell r="N269">
            <v>17898</v>
          </cell>
          <cell r="O269">
            <v>0</v>
          </cell>
          <cell r="P269">
            <v>17898</v>
          </cell>
        </row>
        <row r="270">
          <cell r="A270" t="str">
            <v>INDRAYANI PAPER PORD. PVT. LTD.</v>
          </cell>
          <cell r="B270">
            <v>15</v>
          </cell>
          <cell r="C270" t="str">
            <v>Trade Receivables</v>
          </cell>
          <cell r="D270" t="str">
            <v>Other Debts</v>
          </cell>
          <cell r="E270">
            <v>238781</v>
          </cell>
          <cell r="F270">
            <v>0</v>
          </cell>
          <cell r="G270">
            <v>238781</v>
          </cell>
          <cell r="H270">
            <v>0</v>
          </cell>
          <cell r="I270">
            <v>0</v>
          </cell>
          <cell r="J270">
            <v>0</v>
          </cell>
          <cell r="K270">
            <v>143542</v>
          </cell>
          <cell r="L270">
            <v>0</v>
          </cell>
          <cell r="M270">
            <v>143542</v>
          </cell>
          <cell r="N270">
            <v>0</v>
          </cell>
          <cell r="O270">
            <v>0</v>
          </cell>
          <cell r="P270">
            <v>0</v>
          </cell>
        </row>
        <row r="271">
          <cell r="A271" t="str">
            <v>INDUSTRIAL PACKING PRODUCTS</v>
          </cell>
          <cell r="B271">
            <v>15</v>
          </cell>
          <cell r="C271" t="str">
            <v>Trade Receivables</v>
          </cell>
          <cell r="D271" t="str">
            <v>Other Debts</v>
          </cell>
          <cell r="E271">
            <v>0</v>
          </cell>
          <cell r="F271">
            <v>0</v>
          </cell>
          <cell r="G271">
            <v>0</v>
          </cell>
          <cell r="H271">
            <v>0</v>
          </cell>
          <cell r="I271">
            <v>0</v>
          </cell>
          <cell r="J271">
            <v>0</v>
          </cell>
          <cell r="K271">
            <v>0</v>
          </cell>
          <cell r="L271">
            <v>0</v>
          </cell>
          <cell r="M271">
            <v>0</v>
          </cell>
          <cell r="N271">
            <v>0</v>
          </cell>
          <cell r="O271">
            <v>0</v>
          </cell>
          <cell r="P271">
            <v>0</v>
          </cell>
        </row>
        <row r="272">
          <cell r="A272" t="str">
            <v>INPUT RCM ON CGST</v>
          </cell>
          <cell r="B272">
            <v>8</v>
          </cell>
          <cell r="C272" t="str">
            <v>Other Current Liabilities</v>
          </cell>
          <cell r="D272" t="str">
            <v>Statutory Dues</v>
          </cell>
          <cell r="E272">
            <v>0</v>
          </cell>
          <cell r="F272">
            <v>0</v>
          </cell>
          <cell r="G272">
            <v>0</v>
          </cell>
          <cell r="H272">
            <v>0</v>
          </cell>
          <cell r="I272">
            <v>0</v>
          </cell>
          <cell r="J272">
            <v>0</v>
          </cell>
          <cell r="K272">
            <v>0</v>
          </cell>
          <cell r="L272">
            <v>0</v>
          </cell>
          <cell r="M272">
            <v>0</v>
          </cell>
          <cell r="N272">
            <v>0</v>
          </cell>
          <cell r="O272">
            <v>0</v>
          </cell>
          <cell r="P272">
            <v>0</v>
          </cell>
        </row>
        <row r="273">
          <cell r="A273" t="str">
            <v>INPUT RCM on IGST</v>
          </cell>
          <cell r="B273">
            <v>8</v>
          </cell>
          <cell r="C273" t="str">
            <v>Other Current Liabilities</v>
          </cell>
          <cell r="D273" t="str">
            <v>Statutory Dues</v>
          </cell>
          <cell r="E273">
            <v>0</v>
          </cell>
          <cell r="F273">
            <v>0</v>
          </cell>
          <cell r="G273">
            <v>0</v>
          </cell>
          <cell r="H273">
            <v>0</v>
          </cell>
          <cell r="I273">
            <v>0</v>
          </cell>
          <cell r="J273">
            <v>0</v>
          </cell>
          <cell r="K273">
            <v>0</v>
          </cell>
          <cell r="L273">
            <v>0</v>
          </cell>
          <cell r="M273">
            <v>0</v>
          </cell>
          <cell r="N273">
            <v>0</v>
          </cell>
          <cell r="O273">
            <v>0</v>
          </cell>
          <cell r="P273">
            <v>0</v>
          </cell>
        </row>
        <row r="274">
          <cell r="A274" t="str">
            <v>INPUT RCM ON SGST</v>
          </cell>
          <cell r="B274">
            <v>8</v>
          </cell>
          <cell r="C274" t="str">
            <v>Other Current Liabilities</v>
          </cell>
          <cell r="D274" t="str">
            <v>Statutory Dues</v>
          </cell>
          <cell r="E274">
            <v>0</v>
          </cell>
          <cell r="F274">
            <v>0</v>
          </cell>
          <cell r="G274">
            <v>0</v>
          </cell>
          <cell r="H274">
            <v>0</v>
          </cell>
          <cell r="I274">
            <v>0</v>
          </cell>
          <cell r="J274">
            <v>0</v>
          </cell>
          <cell r="K274">
            <v>0</v>
          </cell>
          <cell r="L274">
            <v>0</v>
          </cell>
          <cell r="M274">
            <v>0</v>
          </cell>
          <cell r="N274">
            <v>0</v>
          </cell>
          <cell r="O274">
            <v>0</v>
          </cell>
          <cell r="P274">
            <v>0</v>
          </cell>
        </row>
        <row r="275">
          <cell r="A275" t="str">
            <v>Insurance Charges For Marine</v>
          </cell>
          <cell r="B275">
            <v>26</v>
          </cell>
          <cell r="C275" t="str">
            <v>Other Expenses</v>
          </cell>
          <cell r="D275" t="str">
            <v>Selling &amp; Dist.-Insurance on Sales</v>
          </cell>
          <cell r="E275">
            <v>280070</v>
          </cell>
          <cell r="F275">
            <v>0</v>
          </cell>
          <cell r="G275">
            <v>280070</v>
          </cell>
          <cell r="H275">
            <v>0</v>
          </cell>
          <cell r="I275">
            <v>0</v>
          </cell>
          <cell r="J275">
            <v>0</v>
          </cell>
          <cell r="K275">
            <v>327417</v>
          </cell>
          <cell r="L275">
            <v>0</v>
          </cell>
          <cell r="M275">
            <v>327417</v>
          </cell>
          <cell r="N275">
            <v>0</v>
          </cell>
          <cell r="O275">
            <v>0</v>
          </cell>
          <cell r="P275">
            <v>0</v>
          </cell>
        </row>
        <row r="276">
          <cell r="A276" t="str">
            <v>Insurance Charges To Other</v>
          </cell>
          <cell r="B276">
            <v>26</v>
          </cell>
          <cell r="C276" t="str">
            <v>Other Expenses</v>
          </cell>
          <cell r="D276" t="str">
            <v>Establishment Expenses-Insurance Charges</v>
          </cell>
          <cell r="E276">
            <v>944137</v>
          </cell>
          <cell r="F276">
            <v>0</v>
          </cell>
          <cell r="G276">
            <v>944137</v>
          </cell>
          <cell r="H276">
            <v>0</v>
          </cell>
          <cell r="I276">
            <v>0</v>
          </cell>
          <cell r="J276">
            <v>0</v>
          </cell>
          <cell r="K276">
            <v>1049138</v>
          </cell>
          <cell r="L276">
            <v>0</v>
          </cell>
          <cell r="M276">
            <v>1049138</v>
          </cell>
          <cell r="N276">
            <v>0</v>
          </cell>
          <cell r="O276">
            <v>0</v>
          </cell>
          <cell r="P276">
            <v>0</v>
          </cell>
        </row>
        <row r="277">
          <cell r="A277" t="str">
            <v>Insurance Claim Ag. Import OCC</v>
          </cell>
          <cell r="B277">
            <v>18</v>
          </cell>
          <cell r="C277" t="str">
            <v>Other Current Assets</v>
          </cell>
          <cell r="D277" t="str">
            <v>Insurance claim Receivable</v>
          </cell>
          <cell r="E277">
            <v>0</v>
          </cell>
          <cell r="F277">
            <v>0</v>
          </cell>
          <cell r="G277">
            <v>0</v>
          </cell>
          <cell r="H277">
            <v>0</v>
          </cell>
          <cell r="I277">
            <v>0</v>
          </cell>
          <cell r="J277">
            <v>0</v>
          </cell>
          <cell r="K277">
            <v>0</v>
          </cell>
          <cell r="L277">
            <v>0</v>
          </cell>
          <cell r="M277">
            <v>0</v>
          </cell>
          <cell r="N277">
            <v>0</v>
          </cell>
          <cell r="O277">
            <v>0</v>
          </cell>
          <cell r="P277">
            <v>0</v>
          </cell>
        </row>
        <row r="278">
          <cell r="A278" t="str">
            <v>Insurance Claim Receivable</v>
          </cell>
          <cell r="B278">
            <v>18</v>
          </cell>
          <cell r="C278" t="str">
            <v>Other Current Assets</v>
          </cell>
          <cell r="D278" t="str">
            <v>Insurance claim Receivable</v>
          </cell>
          <cell r="E278">
            <v>0</v>
          </cell>
          <cell r="F278">
            <v>0</v>
          </cell>
          <cell r="G278">
            <v>0</v>
          </cell>
          <cell r="H278">
            <v>0</v>
          </cell>
          <cell r="I278">
            <v>0</v>
          </cell>
          <cell r="J278">
            <v>0</v>
          </cell>
          <cell r="K278">
            <v>0</v>
          </cell>
          <cell r="L278">
            <v>0</v>
          </cell>
          <cell r="M278">
            <v>0</v>
          </cell>
          <cell r="N278">
            <v>0</v>
          </cell>
          <cell r="O278">
            <v>0</v>
          </cell>
          <cell r="P278">
            <v>0</v>
          </cell>
        </row>
        <row r="279">
          <cell r="A279" t="str">
            <v>Insurance Claim Receivable( Accident Claim)</v>
          </cell>
          <cell r="B279">
            <v>18</v>
          </cell>
          <cell r="C279" t="str">
            <v>Other Current Assets</v>
          </cell>
          <cell r="D279" t="str">
            <v>Insurance claim Receivable</v>
          </cell>
          <cell r="E279">
            <v>0</v>
          </cell>
          <cell r="F279">
            <v>0</v>
          </cell>
          <cell r="G279">
            <v>0</v>
          </cell>
          <cell r="H279">
            <v>0</v>
          </cell>
          <cell r="I279">
            <v>0</v>
          </cell>
          <cell r="J279">
            <v>0</v>
          </cell>
          <cell r="K279">
            <v>380717</v>
          </cell>
          <cell r="L279">
            <v>0</v>
          </cell>
          <cell r="M279">
            <v>380717</v>
          </cell>
          <cell r="N279">
            <v>0</v>
          </cell>
          <cell r="O279">
            <v>0</v>
          </cell>
          <cell r="P279">
            <v>0</v>
          </cell>
        </row>
        <row r="280">
          <cell r="A280" t="str">
            <v>Insurance Pre-Paid</v>
          </cell>
          <cell r="B280">
            <v>18</v>
          </cell>
          <cell r="C280" t="str">
            <v>Other Current Assets</v>
          </cell>
          <cell r="D280" t="str">
            <v>Prepaid Expenses</v>
          </cell>
          <cell r="E280">
            <v>414161</v>
          </cell>
          <cell r="F280">
            <v>0</v>
          </cell>
          <cell r="G280">
            <v>414161</v>
          </cell>
          <cell r="H280">
            <v>0</v>
          </cell>
          <cell r="I280">
            <v>0</v>
          </cell>
          <cell r="J280">
            <v>0</v>
          </cell>
          <cell r="K280">
            <v>432678</v>
          </cell>
          <cell r="L280">
            <v>0</v>
          </cell>
          <cell r="M280">
            <v>432678</v>
          </cell>
          <cell r="N280">
            <v>0</v>
          </cell>
          <cell r="O280">
            <v>0</v>
          </cell>
          <cell r="P280">
            <v>0</v>
          </cell>
        </row>
        <row r="281">
          <cell r="A281" t="str">
            <v>Interest  From Bank (F.D.)</v>
          </cell>
          <cell r="B281">
            <v>20</v>
          </cell>
          <cell r="C281" t="str">
            <v>Other Income</v>
          </cell>
          <cell r="D281" t="str">
            <v>Interest Received</v>
          </cell>
          <cell r="E281">
            <v>0</v>
          </cell>
          <cell r="F281">
            <v>0</v>
          </cell>
          <cell r="G281">
            <v>0</v>
          </cell>
          <cell r="H281">
            <v>37088</v>
          </cell>
          <cell r="I281">
            <v>0</v>
          </cell>
          <cell r="J281">
            <v>37088</v>
          </cell>
          <cell r="K281">
            <v>0</v>
          </cell>
          <cell r="L281">
            <v>0</v>
          </cell>
          <cell r="M281">
            <v>0</v>
          </cell>
          <cell r="N281">
            <v>183449.05</v>
          </cell>
          <cell r="O281">
            <v>183449</v>
          </cell>
          <cell r="P281">
            <v>183449.05</v>
          </cell>
        </row>
        <row r="282">
          <cell r="A282" t="str">
            <v>Interest From Others</v>
          </cell>
          <cell r="B282">
            <v>20</v>
          </cell>
          <cell r="C282" t="str">
            <v>Other Income</v>
          </cell>
          <cell r="D282" t="str">
            <v>Interest Received</v>
          </cell>
          <cell r="E282">
            <v>0</v>
          </cell>
          <cell r="F282">
            <v>0</v>
          </cell>
          <cell r="G282">
            <v>0</v>
          </cell>
          <cell r="H282">
            <v>0</v>
          </cell>
          <cell r="I282">
            <v>0</v>
          </cell>
          <cell r="J282">
            <v>0</v>
          </cell>
          <cell r="K282">
            <v>0</v>
          </cell>
          <cell r="L282">
            <v>0</v>
          </cell>
          <cell r="M282">
            <v>0</v>
          </cell>
          <cell r="N282">
            <v>0</v>
          </cell>
          <cell r="O282">
            <v>0</v>
          </cell>
          <cell r="P282">
            <v>0</v>
          </cell>
        </row>
        <row r="283">
          <cell r="A283" t="str">
            <v>Interest  on Excise Duty</v>
          </cell>
          <cell r="B283">
            <v>26</v>
          </cell>
          <cell r="C283" t="str">
            <v>Other Expenses</v>
          </cell>
          <cell r="D283" t="str">
            <v>Establishment Expenses-Rates &amp; Taxes</v>
          </cell>
          <cell r="E283">
            <v>0</v>
          </cell>
          <cell r="F283">
            <v>0</v>
          </cell>
          <cell r="G283">
            <v>0</v>
          </cell>
          <cell r="H283">
            <v>0</v>
          </cell>
          <cell r="I283">
            <v>0</v>
          </cell>
          <cell r="J283">
            <v>0</v>
          </cell>
          <cell r="K283">
            <v>25345</v>
          </cell>
          <cell r="L283">
            <v>0</v>
          </cell>
          <cell r="M283">
            <v>25345</v>
          </cell>
          <cell r="N283">
            <v>0</v>
          </cell>
          <cell r="O283">
            <v>0</v>
          </cell>
          <cell r="P283">
            <v>0</v>
          </cell>
        </row>
        <row r="284">
          <cell r="A284" t="str">
            <v>Interest Accured On Deposit</v>
          </cell>
          <cell r="B284">
            <v>20</v>
          </cell>
          <cell r="C284" t="str">
            <v>Other Income</v>
          </cell>
          <cell r="D284" t="str">
            <v>Other Income</v>
          </cell>
          <cell r="E284">
            <v>0</v>
          </cell>
          <cell r="F284">
            <v>0</v>
          </cell>
          <cell r="G284">
            <v>0</v>
          </cell>
          <cell r="H284">
            <v>162851.66</v>
          </cell>
          <cell r="I284">
            <v>0</v>
          </cell>
          <cell r="J284">
            <v>162851.66</v>
          </cell>
          <cell r="K284">
            <v>0</v>
          </cell>
          <cell r="L284">
            <v>0</v>
          </cell>
          <cell r="M284">
            <v>0</v>
          </cell>
          <cell r="N284">
            <v>0</v>
          </cell>
          <cell r="O284">
            <v>0</v>
          </cell>
          <cell r="P284">
            <v>0</v>
          </cell>
        </row>
        <row r="285">
          <cell r="A285" t="str">
            <v>Interest for Car Loan to Sundaram Finance</v>
          </cell>
          <cell r="B285">
            <v>25</v>
          </cell>
          <cell r="C285" t="str">
            <v>Finance Costs</v>
          </cell>
          <cell r="D285" t="str">
            <v>Interest Expenses</v>
          </cell>
          <cell r="E285">
            <v>3023</v>
          </cell>
          <cell r="F285">
            <v>0</v>
          </cell>
          <cell r="G285">
            <v>3023</v>
          </cell>
          <cell r="H285">
            <v>0</v>
          </cell>
          <cell r="I285">
            <v>0</v>
          </cell>
          <cell r="J285">
            <v>0</v>
          </cell>
          <cell r="K285">
            <v>16003</v>
          </cell>
          <cell r="L285">
            <v>0</v>
          </cell>
          <cell r="M285">
            <v>16003</v>
          </cell>
          <cell r="N285">
            <v>0</v>
          </cell>
          <cell r="O285">
            <v>0</v>
          </cell>
          <cell r="P285">
            <v>0</v>
          </cell>
        </row>
        <row r="286">
          <cell r="A286" t="str">
            <v>Interest For Forklift to Sundaram Finance</v>
          </cell>
          <cell r="B286">
            <v>25</v>
          </cell>
          <cell r="C286" t="str">
            <v>Finance Costs</v>
          </cell>
          <cell r="D286" t="str">
            <v>Interest Expenses</v>
          </cell>
          <cell r="E286">
            <v>29695</v>
          </cell>
          <cell r="F286">
            <v>0</v>
          </cell>
          <cell r="G286">
            <v>29695</v>
          </cell>
          <cell r="H286">
            <v>0</v>
          </cell>
          <cell r="I286">
            <v>0</v>
          </cell>
          <cell r="J286">
            <v>0</v>
          </cell>
          <cell r="K286">
            <v>53707</v>
          </cell>
          <cell r="L286">
            <v>0</v>
          </cell>
          <cell r="M286">
            <v>53707</v>
          </cell>
          <cell r="N286">
            <v>0</v>
          </cell>
          <cell r="O286">
            <v>0</v>
          </cell>
          <cell r="P286">
            <v>0</v>
          </cell>
        </row>
        <row r="287">
          <cell r="A287" t="str">
            <v>Interest For Tractor to Sundaram Finance</v>
          </cell>
          <cell r="B287">
            <v>25</v>
          </cell>
          <cell r="C287" t="str">
            <v>Finance Costs</v>
          </cell>
          <cell r="D287" t="str">
            <v>Interest Expenses</v>
          </cell>
          <cell r="E287">
            <v>38511</v>
          </cell>
          <cell r="F287">
            <v>0</v>
          </cell>
          <cell r="G287">
            <v>38511</v>
          </cell>
          <cell r="H287">
            <v>0</v>
          </cell>
          <cell r="I287">
            <v>0</v>
          </cell>
          <cell r="J287">
            <v>0</v>
          </cell>
          <cell r="K287">
            <v>58427</v>
          </cell>
          <cell r="L287">
            <v>0</v>
          </cell>
          <cell r="M287">
            <v>58427</v>
          </cell>
          <cell r="N287">
            <v>0</v>
          </cell>
          <cell r="O287">
            <v>0</v>
          </cell>
          <cell r="P287">
            <v>0</v>
          </cell>
        </row>
        <row r="288">
          <cell r="A288" t="str">
            <v>Interest on Add.T/L (1.5Cr)...6669</v>
          </cell>
          <cell r="B288">
            <v>25</v>
          </cell>
          <cell r="C288" t="str">
            <v>Finance Costs</v>
          </cell>
          <cell r="D288" t="str">
            <v>Interest Expenses</v>
          </cell>
          <cell r="E288">
            <v>672181</v>
          </cell>
          <cell r="F288">
            <v>0</v>
          </cell>
          <cell r="G288">
            <v>672181</v>
          </cell>
          <cell r="H288">
            <v>0</v>
          </cell>
          <cell r="I288">
            <v>0</v>
          </cell>
          <cell r="J288">
            <v>0</v>
          </cell>
          <cell r="K288">
            <v>1002896</v>
          </cell>
          <cell r="L288">
            <v>0</v>
          </cell>
          <cell r="M288">
            <v>1002896</v>
          </cell>
          <cell r="N288">
            <v>0</v>
          </cell>
          <cell r="O288">
            <v>0</v>
          </cell>
          <cell r="P288">
            <v>0</v>
          </cell>
        </row>
        <row r="289">
          <cell r="A289" t="str">
            <v>Interest on Bank Term Loan ( 2 Cr.)...0563</v>
          </cell>
          <cell r="B289">
            <v>25</v>
          </cell>
          <cell r="C289" t="str">
            <v>Finance Costs</v>
          </cell>
          <cell r="D289" t="str">
            <v>Interest Expenses</v>
          </cell>
          <cell r="E289">
            <v>867002</v>
          </cell>
          <cell r="F289">
            <v>0</v>
          </cell>
          <cell r="G289">
            <v>867002</v>
          </cell>
          <cell r="H289">
            <v>0</v>
          </cell>
          <cell r="I289">
            <v>0</v>
          </cell>
          <cell r="J289">
            <v>0</v>
          </cell>
          <cell r="K289">
            <v>1332922</v>
          </cell>
          <cell r="L289">
            <v>0</v>
          </cell>
          <cell r="M289">
            <v>1332922</v>
          </cell>
          <cell r="N289">
            <v>0</v>
          </cell>
          <cell r="O289">
            <v>0</v>
          </cell>
          <cell r="P289">
            <v>0</v>
          </cell>
        </row>
        <row r="290">
          <cell r="A290" t="str">
            <v>Interest on CGST</v>
          </cell>
          <cell r="B290">
            <v>26</v>
          </cell>
          <cell r="C290" t="str">
            <v>Other Expenses</v>
          </cell>
          <cell r="D290" t="str">
            <v>Establishment Expenses-Rates &amp; Taxes</v>
          </cell>
          <cell r="E290">
            <v>5436</v>
          </cell>
          <cell r="F290">
            <v>0</v>
          </cell>
          <cell r="G290">
            <v>5436</v>
          </cell>
          <cell r="H290">
            <v>0</v>
          </cell>
          <cell r="I290">
            <v>0</v>
          </cell>
          <cell r="J290">
            <v>0</v>
          </cell>
          <cell r="K290">
            <v>3632</v>
          </cell>
          <cell r="L290">
            <v>0</v>
          </cell>
          <cell r="M290">
            <v>3632</v>
          </cell>
          <cell r="N290">
            <v>0</v>
          </cell>
          <cell r="O290">
            <v>0</v>
          </cell>
          <cell r="P290">
            <v>0</v>
          </cell>
        </row>
        <row r="291">
          <cell r="A291" t="str">
            <v>Interest on Provident Fund</v>
          </cell>
          <cell r="B291">
            <v>26</v>
          </cell>
          <cell r="C291" t="str">
            <v>Other Expenses</v>
          </cell>
          <cell r="D291" t="str">
            <v>Establishment Expenses-Rates &amp; Taxes</v>
          </cell>
          <cell r="E291">
            <v>5485</v>
          </cell>
          <cell r="F291">
            <v>0</v>
          </cell>
          <cell r="G291">
            <v>5485</v>
          </cell>
          <cell r="H291">
            <v>0</v>
          </cell>
          <cell r="I291">
            <v>0</v>
          </cell>
          <cell r="J291">
            <v>0</v>
          </cell>
          <cell r="K291">
            <v>0</v>
          </cell>
          <cell r="L291">
            <v>0</v>
          </cell>
          <cell r="M291">
            <v>0</v>
          </cell>
          <cell r="N291">
            <v>0</v>
          </cell>
          <cell r="O291">
            <v>0</v>
          </cell>
          <cell r="P291">
            <v>0</v>
          </cell>
        </row>
        <row r="292">
          <cell r="A292" t="str">
            <v>Interest on Vat F.Y. 2015-16</v>
          </cell>
          <cell r="B292">
            <v>26</v>
          </cell>
          <cell r="C292" t="str">
            <v>Other Expenses</v>
          </cell>
          <cell r="D292" t="str">
            <v>Establishment Expenses-Rates &amp; Taxes</v>
          </cell>
          <cell r="E292">
            <v>12071</v>
          </cell>
          <cell r="F292">
            <v>0</v>
          </cell>
          <cell r="G292">
            <v>12071</v>
          </cell>
          <cell r="H292">
            <v>0</v>
          </cell>
          <cell r="I292">
            <v>0</v>
          </cell>
          <cell r="J292">
            <v>0</v>
          </cell>
          <cell r="K292">
            <v>0</v>
          </cell>
          <cell r="L292">
            <v>0</v>
          </cell>
          <cell r="M292">
            <v>0</v>
          </cell>
          <cell r="N292">
            <v>0</v>
          </cell>
          <cell r="O292">
            <v>0</v>
          </cell>
          <cell r="P292">
            <v>0</v>
          </cell>
        </row>
        <row r="293">
          <cell r="A293" t="str">
            <v>Interest On Custom Duty</v>
          </cell>
          <cell r="B293">
            <v>26</v>
          </cell>
          <cell r="C293" t="str">
            <v>Other Expenses</v>
          </cell>
          <cell r="D293" t="str">
            <v>Establishment Expenses-Rates &amp; Taxes</v>
          </cell>
          <cell r="E293">
            <v>27865</v>
          </cell>
          <cell r="F293">
            <v>0</v>
          </cell>
          <cell r="G293">
            <v>27865</v>
          </cell>
          <cell r="H293">
            <v>0</v>
          </cell>
          <cell r="I293">
            <v>0</v>
          </cell>
          <cell r="J293">
            <v>0</v>
          </cell>
          <cell r="K293">
            <v>17476</v>
          </cell>
          <cell r="L293">
            <v>0</v>
          </cell>
          <cell r="M293">
            <v>17476</v>
          </cell>
          <cell r="N293">
            <v>0</v>
          </cell>
          <cell r="O293">
            <v>0</v>
          </cell>
          <cell r="P293">
            <v>0</v>
          </cell>
        </row>
        <row r="294">
          <cell r="A294" t="str">
            <v>Interest on I.T. Refund A.Y. 2016-17</v>
          </cell>
          <cell r="B294">
            <v>20</v>
          </cell>
          <cell r="C294" t="str">
            <v>Other Income</v>
          </cell>
          <cell r="D294" t="str">
            <v>Other Income</v>
          </cell>
          <cell r="E294">
            <v>0</v>
          </cell>
          <cell r="F294">
            <v>0</v>
          </cell>
          <cell r="G294">
            <v>0</v>
          </cell>
          <cell r="H294">
            <v>0</v>
          </cell>
          <cell r="I294">
            <v>0</v>
          </cell>
          <cell r="J294">
            <v>0</v>
          </cell>
          <cell r="K294">
            <v>0</v>
          </cell>
          <cell r="L294">
            <v>0</v>
          </cell>
          <cell r="M294">
            <v>0</v>
          </cell>
          <cell r="N294">
            <v>0</v>
          </cell>
          <cell r="O294">
            <v>0</v>
          </cell>
          <cell r="P294">
            <v>0</v>
          </cell>
        </row>
        <row r="295">
          <cell r="A295" t="str">
            <v>Interest On IGST</v>
          </cell>
          <cell r="B295">
            <v>26</v>
          </cell>
          <cell r="C295" t="str">
            <v>Other Expenses</v>
          </cell>
          <cell r="D295" t="str">
            <v>Establishment Expenses-Rates &amp; Taxes</v>
          </cell>
          <cell r="E295">
            <v>2414</v>
          </cell>
          <cell r="F295">
            <v>0</v>
          </cell>
          <cell r="G295">
            <v>2414</v>
          </cell>
          <cell r="H295">
            <v>0</v>
          </cell>
          <cell r="I295">
            <v>0</v>
          </cell>
          <cell r="J295">
            <v>0</v>
          </cell>
          <cell r="K295">
            <v>38</v>
          </cell>
          <cell r="L295">
            <v>0</v>
          </cell>
          <cell r="M295">
            <v>38</v>
          </cell>
          <cell r="N295">
            <v>0</v>
          </cell>
          <cell r="O295">
            <v>0</v>
          </cell>
          <cell r="P295">
            <v>0</v>
          </cell>
        </row>
        <row r="296">
          <cell r="A296" t="str">
            <v>Interest on Income Tax</v>
          </cell>
          <cell r="B296">
            <v>26</v>
          </cell>
          <cell r="C296" t="str">
            <v>Other Expenses</v>
          </cell>
          <cell r="D296" t="str">
            <v>Establishment Expenses-Rates &amp; Taxes</v>
          </cell>
          <cell r="E296">
            <v>285231</v>
          </cell>
          <cell r="F296">
            <v>0</v>
          </cell>
          <cell r="G296">
            <v>285231</v>
          </cell>
          <cell r="H296">
            <v>0</v>
          </cell>
          <cell r="I296">
            <v>0</v>
          </cell>
          <cell r="J296">
            <v>0</v>
          </cell>
          <cell r="K296">
            <v>263266.87</v>
          </cell>
          <cell r="L296">
            <v>0</v>
          </cell>
          <cell r="M296">
            <v>263266.87</v>
          </cell>
          <cell r="N296">
            <v>0</v>
          </cell>
          <cell r="O296">
            <v>0</v>
          </cell>
          <cell r="P296">
            <v>0</v>
          </cell>
        </row>
        <row r="297">
          <cell r="A297" t="str">
            <v>Interest on NSIC (PNB Bank)</v>
          </cell>
          <cell r="B297">
            <v>25</v>
          </cell>
          <cell r="C297" t="str">
            <v>Finance Costs</v>
          </cell>
          <cell r="D297" t="str">
            <v>Other Borrowing Costs</v>
          </cell>
          <cell r="E297">
            <v>0</v>
          </cell>
          <cell r="F297">
            <v>0</v>
          </cell>
          <cell r="G297">
            <v>0</v>
          </cell>
          <cell r="H297">
            <v>0</v>
          </cell>
          <cell r="I297">
            <v>0</v>
          </cell>
          <cell r="J297">
            <v>0</v>
          </cell>
          <cell r="K297">
            <v>0</v>
          </cell>
          <cell r="L297">
            <v>0</v>
          </cell>
          <cell r="M297">
            <v>0</v>
          </cell>
          <cell r="N297">
            <v>0</v>
          </cell>
          <cell r="O297">
            <v>0</v>
          </cell>
          <cell r="P297">
            <v>0</v>
          </cell>
        </row>
        <row r="298">
          <cell r="A298" t="str">
            <v>INTEREST ON PROFESSIONAL TAX</v>
          </cell>
          <cell r="B298">
            <v>26</v>
          </cell>
          <cell r="C298" t="str">
            <v>Other Expenses</v>
          </cell>
          <cell r="D298" t="str">
            <v>Establishment Expenses-Rates &amp; Taxes</v>
          </cell>
          <cell r="E298">
            <v>200</v>
          </cell>
          <cell r="F298">
            <v>0</v>
          </cell>
          <cell r="G298">
            <v>200</v>
          </cell>
          <cell r="H298">
            <v>0</v>
          </cell>
          <cell r="I298">
            <v>0</v>
          </cell>
          <cell r="J298">
            <v>0</v>
          </cell>
          <cell r="K298">
            <v>410</v>
          </cell>
          <cell r="L298">
            <v>0</v>
          </cell>
          <cell r="M298">
            <v>410</v>
          </cell>
          <cell r="N298">
            <v>0</v>
          </cell>
          <cell r="O298">
            <v>0</v>
          </cell>
          <cell r="P298">
            <v>0</v>
          </cell>
        </row>
        <row r="299">
          <cell r="A299" t="str">
            <v>Interest On Sales Tax</v>
          </cell>
          <cell r="B299">
            <v>26</v>
          </cell>
          <cell r="C299" t="str">
            <v>Other Expenses</v>
          </cell>
          <cell r="D299" t="str">
            <v>Establishment Expenses-Rates &amp; Taxes</v>
          </cell>
          <cell r="E299">
            <v>29250</v>
          </cell>
          <cell r="F299">
            <v>0</v>
          </cell>
          <cell r="G299">
            <v>29250</v>
          </cell>
          <cell r="H299">
            <v>0</v>
          </cell>
          <cell r="I299">
            <v>0</v>
          </cell>
          <cell r="J299">
            <v>0</v>
          </cell>
          <cell r="K299">
            <v>0</v>
          </cell>
          <cell r="L299">
            <v>0</v>
          </cell>
          <cell r="M299">
            <v>0</v>
          </cell>
          <cell r="N299">
            <v>0</v>
          </cell>
          <cell r="O299">
            <v>0</v>
          </cell>
          <cell r="P299">
            <v>0</v>
          </cell>
        </row>
        <row r="300">
          <cell r="A300" t="str">
            <v>Interest On Service Tax</v>
          </cell>
          <cell r="B300">
            <v>26</v>
          </cell>
          <cell r="C300" t="str">
            <v>Other Expenses</v>
          </cell>
          <cell r="D300" t="str">
            <v>Establishment Expenses-Rates &amp; Taxes</v>
          </cell>
          <cell r="E300">
            <v>0</v>
          </cell>
          <cell r="F300">
            <v>0</v>
          </cell>
          <cell r="G300">
            <v>0</v>
          </cell>
          <cell r="H300">
            <v>0</v>
          </cell>
          <cell r="I300">
            <v>0</v>
          </cell>
          <cell r="J300">
            <v>0</v>
          </cell>
          <cell r="K300">
            <v>0</v>
          </cell>
          <cell r="L300">
            <v>0</v>
          </cell>
          <cell r="M300">
            <v>0</v>
          </cell>
          <cell r="N300">
            <v>0</v>
          </cell>
          <cell r="O300">
            <v>0</v>
          </cell>
          <cell r="P300">
            <v>0</v>
          </cell>
        </row>
        <row r="301">
          <cell r="A301" t="str">
            <v>Interest on SGST</v>
          </cell>
          <cell r="B301">
            <v>26</v>
          </cell>
          <cell r="C301" t="str">
            <v>Other Expenses</v>
          </cell>
          <cell r="D301" t="str">
            <v>Establishment Expenses-Rates &amp; Taxes</v>
          </cell>
          <cell r="E301">
            <v>5436</v>
          </cell>
          <cell r="F301">
            <v>0</v>
          </cell>
          <cell r="G301">
            <v>5436</v>
          </cell>
          <cell r="H301">
            <v>0</v>
          </cell>
          <cell r="I301">
            <v>0</v>
          </cell>
          <cell r="J301">
            <v>0</v>
          </cell>
          <cell r="K301">
            <v>3632</v>
          </cell>
          <cell r="L301">
            <v>0</v>
          </cell>
          <cell r="M301">
            <v>3632</v>
          </cell>
          <cell r="N301">
            <v>0</v>
          </cell>
          <cell r="O301">
            <v>0</v>
          </cell>
          <cell r="P301">
            <v>0</v>
          </cell>
        </row>
        <row r="302">
          <cell r="A302" t="str">
            <v>Interest on Staff Professional Tax</v>
          </cell>
          <cell r="B302">
            <v>26</v>
          </cell>
          <cell r="C302" t="str">
            <v>Other Expenses</v>
          </cell>
          <cell r="D302" t="str">
            <v>Establishment Expenses-Rates &amp; Taxes</v>
          </cell>
          <cell r="E302">
            <v>0</v>
          </cell>
          <cell r="F302">
            <v>0</v>
          </cell>
          <cell r="G302">
            <v>0</v>
          </cell>
          <cell r="H302">
            <v>0</v>
          </cell>
          <cell r="I302">
            <v>0</v>
          </cell>
          <cell r="J302">
            <v>0</v>
          </cell>
          <cell r="K302">
            <v>0</v>
          </cell>
          <cell r="L302">
            <v>0</v>
          </cell>
          <cell r="M302">
            <v>0</v>
          </cell>
          <cell r="N302">
            <v>0</v>
          </cell>
          <cell r="O302">
            <v>0</v>
          </cell>
          <cell r="P302">
            <v>0</v>
          </cell>
        </row>
        <row r="303">
          <cell r="A303" t="str">
            <v>Interest On Tds</v>
          </cell>
          <cell r="B303">
            <v>26</v>
          </cell>
          <cell r="C303" t="str">
            <v>Other Expenses</v>
          </cell>
          <cell r="D303" t="str">
            <v>Establishment Expenses-Rates &amp; Taxes</v>
          </cell>
          <cell r="E303">
            <v>2330</v>
          </cell>
          <cell r="F303">
            <v>0</v>
          </cell>
          <cell r="G303">
            <v>2330</v>
          </cell>
          <cell r="H303">
            <v>0</v>
          </cell>
          <cell r="I303">
            <v>0</v>
          </cell>
          <cell r="J303">
            <v>0</v>
          </cell>
          <cell r="K303">
            <v>22179</v>
          </cell>
          <cell r="L303">
            <v>0</v>
          </cell>
          <cell r="M303">
            <v>22179</v>
          </cell>
          <cell r="N303">
            <v>0</v>
          </cell>
          <cell r="O303">
            <v>0</v>
          </cell>
          <cell r="P303">
            <v>0</v>
          </cell>
        </row>
        <row r="304">
          <cell r="A304" t="str">
            <v>Interest on VAT A.Y. 14-15</v>
          </cell>
          <cell r="B304">
            <v>20</v>
          </cell>
          <cell r="C304" t="str">
            <v>Other Income</v>
          </cell>
          <cell r="D304" t="str">
            <v>Other Income</v>
          </cell>
          <cell r="E304">
            <v>0</v>
          </cell>
          <cell r="F304">
            <v>0</v>
          </cell>
          <cell r="G304">
            <v>0</v>
          </cell>
          <cell r="H304">
            <v>0</v>
          </cell>
          <cell r="I304">
            <v>0</v>
          </cell>
          <cell r="J304">
            <v>0</v>
          </cell>
          <cell r="K304">
            <v>0</v>
          </cell>
          <cell r="L304">
            <v>0</v>
          </cell>
          <cell r="M304">
            <v>0</v>
          </cell>
          <cell r="N304">
            <v>47130</v>
          </cell>
          <cell r="O304">
            <v>0</v>
          </cell>
          <cell r="P304">
            <v>47130</v>
          </cell>
        </row>
        <row r="305">
          <cell r="A305" t="str">
            <v>Interest Payable</v>
          </cell>
          <cell r="B305">
            <v>8</v>
          </cell>
          <cell r="C305" t="str">
            <v>Other Current Liabilities</v>
          </cell>
          <cell r="D305" t="str">
            <v>Other Current Liabilities</v>
          </cell>
          <cell r="E305">
            <v>0</v>
          </cell>
          <cell r="F305">
            <v>0</v>
          </cell>
          <cell r="G305">
            <v>0</v>
          </cell>
          <cell r="H305">
            <v>591387.93999999994</v>
          </cell>
          <cell r="I305">
            <v>0</v>
          </cell>
          <cell r="J305">
            <v>591387.93999999994</v>
          </cell>
          <cell r="K305">
            <v>0</v>
          </cell>
          <cell r="L305">
            <v>0</v>
          </cell>
          <cell r="M305">
            <v>0</v>
          </cell>
          <cell r="N305">
            <v>262026</v>
          </cell>
          <cell r="O305">
            <v>0</v>
          </cell>
          <cell r="P305">
            <v>262026</v>
          </cell>
        </row>
        <row r="306">
          <cell r="A306" t="str">
            <v>Interest Receivable</v>
          </cell>
          <cell r="B306">
            <v>18</v>
          </cell>
          <cell r="C306" t="str">
            <v>Other Current Assets</v>
          </cell>
          <cell r="D306" t="str">
            <v>Interest Receivable</v>
          </cell>
          <cell r="E306">
            <v>0</v>
          </cell>
          <cell r="F306">
            <v>0</v>
          </cell>
          <cell r="G306">
            <v>0</v>
          </cell>
          <cell r="H306">
            <v>0</v>
          </cell>
          <cell r="I306">
            <v>0</v>
          </cell>
          <cell r="J306">
            <v>0</v>
          </cell>
          <cell r="K306">
            <v>0</v>
          </cell>
          <cell r="L306">
            <v>0</v>
          </cell>
          <cell r="M306">
            <v>0</v>
          </cell>
          <cell r="N306">
            <v>0</v>
          </cell>
          <cell r="O306">
            <v>0</v>
          </cell>
          <cell r="P306">
            <v>0</v>
          </cell>
        </row>
        <row r="307">
          <cell r="A307" t="str">
            <v>Interest Receivable on Power</v>
          </cell>
          <cell r="B307">
            <v>18</v>
          </cell>
          <cell r="C307" t="str">
            <v>Other Current Assets</v>
          </cell>
          <cell r="D307" t="str">
            <v>Interest Receivable</v>
          </cell>
          <cell r="E307">
            <v>0</v>
          </cell>
          <cell r="F307">
            <v>0</v>
          </cell>
          <cell r="G307">
            <v>0</v>
          </cell>
          <cell r="H307">
            <v>0</v>
          </cell>
          <cell r="I307">
            <v>0</v>
          </cell>
          <cell r="J307">
            <v>0</v>
          </cell>
          <cell r="K307">
            <v>0</v>
          </cell>
          <cell r="L307">
            <v>0</v>
          </cell>
          <cell r="M307">
            <v>0</v>
          </cell>
          <cell r="N307">
            <v>0</v>
          </cell>
          <cell r="O307">
            <v>0</v>
          </cell>
          <cell r="P307">
            <v>0</v>
          </cell>
        </row>
        <row r="308">
          <cell r="A308" t="str">
            <v>Interest To Bank</v>
          </cell>
          <cell r="B308">
            <v>25</v>
          </cell>
          <cell r="C308" t="str">
            <v>Finance Costs</v>
          </cell>
          <cell r="D308" t="str">
            <v>Interest Expenses</v>
          </cell>
          <cell r="E308">
            <v>4933451.9400000004</v>
          </cell>
          <cell r="F308">
            <v>0</v>
          </cell>
          <cell r="G308">
            <v>4933451.9400000004</v>
          </cell>
          <cell r="H308">
            <v>0</v>
          </cell>
          <cell r="I308">
            <v>0</v>
          </cell>
          <cell r="J308">
            <v>0</v>
          </cell>
          <cell r="K308">
            <v>5694330</v>
          </cell>
          <cell r="L308">
            <v>0</v>
          </cell>
          <cell r="M308">
            <v>5694330</v>
          </cell>
          <cell r="N308">
            <v>0</v>
          </cell>
          <cell r="O308">
            <v>0</v>
          </cell>
          <cell r="P308">
            <v>0</v>
          </cell>
        </row>
        <row r="309">
          <cell r="A309" t="str">
            <v>Interest to Bank on T/L (1.5 Cr.).....3547</v>
          </cell>
          <cell r="B309">
            <v>25</v>
          </cell>
          <cell r="C309" t="str">
            <v>Finance Costs</v>
          </cell>
          <cell r="D309" t="str">
            <v>Interest Expenses</v>
          </cell>
          <cell r="E309">
            <v>206543</v>
          </cell>
          <cell r="F309">
            <v>0</v>
          </cell>
          <cell r="G309">
            <v>206543</v>
          </cell>
          <cell r="H309">
            <v>0</v>
          </cell>
          <cell r="I309">
            <v>0</v>
          </cell>
          <cell r="J309">
            <v>0</v>
          </cell>
          <cell r="K309">
            <v>523984</v>
          </cell>
          <cell r="L309">
            <v>0</v>
          </cell>
          <cell r="M309">
            <v>523984</v>
          </cell>
          <cell r="N309">
            <v>0</v>
          </cell>
          <cell r="O309">
            <v>0</v>
          </cell>
          <cell r="P309">
            <v>0</v>
          </cell>
        </row>
        <row r="310">
          <cell r="A310" t="str">
            <v>Interest to Bank on T/L (4 Cr.)....80072</v>
          </cell>
          <cell r="B310">
            <v>25</v>
          </cell>
          <cell r="C310" t="str">
            <v>Finance Costs</v>
          </cell>
          <cell r="D310" t="str">
            <v>Interest Expenses</v>
          </cell>
          <cell r="E310">
            <v>477528</v>
          </cell>
          <cell r="F310">
            <v>0</v>
          </cell>
          <cell r="G310">
            <v>477528</v>
          </cell>
          <cell r="H310">
            <v>0</v>
          </cell>
          <cell r="I310">
            <v>0</v>
          </cell>
          <cell r="J310">
            <v>0</v>
          </cell>
          <cell r="K310">
            <v>1401926</v>
          </cell>
          <cell r="L310">
            <v>0</v>
          </cell>
          <cell r="M310">
            <v>1401926</v>
          </cell>
          <cell r="N310">
            <v>0</v>
          </cell>
          <cell r="O310">
            <v>0</v>
          </cell>
          <cell r="P310">
            <v>0</v>
          </cell>
        </row>
        <row r="311">
          <cell r="A311" t="str">
            <v>Interest To Others</v>
          </cell>
          <cell r="B311">
            <v>25</v>
          </cell>
          <cell r="C311" t="str">
            <v>Finance Costs</v>
          </cell>
          <cell r="D311" t="str">
            <v>Interest Expenses</v>
          </cell>
          <cell r="E311">
            <v>1878337</v>
          </cell>
          <cell r="F311">
            <v>0</v>
          </cell>
          <cell r="G311">
            <v>1878337</v>
          </cell>
          <cell r="H311">
            <v>0</v>
          </cell>
          <cell r="I311">
            <v>0</v>
          </cell>
          <cell r="J311">
            <v>0</v>
          </cell>
          <cell r="K311">
            <v>3826381</v>
          </cell>
          <cell r="L311">
            <v>0</v>
          </cell>
          <cell r="M311">
            <v>3826381</v>
          </cell>
          <cell r="N311">
            <v>0</v>
          </cell>
          <cell r="O311">
            <v>0</v>
          </cell>
          <cell r="P311">
            <v>0</v>
          </cell>
        </row>
        <row r="312">
          <cell r="A312" t="str">
            <v>Internal Audit Fees (Khandelwal)</v>
          </cell>
          <cell r="B312">
            <v>26</v>
          </cell>
          <cell r="C312" t="str">
            <v>Other Expenses</v>
          </cell>
          <cell r="D312" t="str">
            <v>Establishment Expenses-Auditors Remuneration</v>
          </cell>
          <cell r="E312">
            <v>196000</v>
          </cell>
          <cell r="F312">
            <v>0</v>
          </cell>
          <cell r="G312">
            <v>196000</v>
          </cell>
          <cell r="H312">
            <v>0</v>
          </cell>
          <cell r="I312">
            <v>0</v>
          </cell>
          <cell r="J312">
            <v>0</v>
          </cell>
          <cell r="K312">
            <v>360000</v>
          </cell>
          <cell r="L312">
            <v>0</v>
          </cell>
          <cell r="M312">
            <v>360000</v>
          </cell>
          <cell r="N312">
            <v>0</v>
          </cell>
          <cell r="O312">
            <v>0</v>
          </cell>
          <cell r="P312">
            <v>0</v>
          </cell>
        </row>
        <row r="313">
          <cell r="A313" t="str">
            <v>INTRATECH</v>
          </cell>
          <cell r="B313">
            <v>7</v>
          </cell>
          <cell r="C313" t="str">
            <v>Trade Payables</v>
          </cell>
          <cell r="D313" t="str">
            <v>Trade Payables</v>
          </cell>
          <cell r="E313">
            <v>0</v>
          </cell>
          <cell r="F313">
            <v>0</v>
          </cell>
          <cell r="G313">
            <v>0</v>
          </cell>
          <cell r="H313">
            <v>0</v>
          </cell>
          <cell r="I313">
            <v>0</v>
          </cell>
          <cell r="J313">
            <v>0</v>
          </cell>
          <cell r="K313">
            <v>0</v>
          </cell>
          <cell r="L313">
            <v>0</v>
          </cell>
          <cell r="M313">
            <v>0</v>
          </cell>
          <cell r="N313">
            <v>95344</v>
          </cell>
          <cell r="O313">
            <v>0</v>
          </cell>
          <cell r="P313">
            <v>95344</v>
          </cell>
        </row>
        <row r="314">
          <cell r="A314" t="str">
            <v>J.S.M. Marketing, Nagpur</v>
          </cell>
          <cell r="B314">
            <v>7</v>
          </cell>
          <cell r="C314" t="str">
            <v>Trade Payables</v>
          </cell>
          <cell r="D314" t="str">
            <v>Trade Payables</v>
          </cell>
          <cell r="E314">
            <v>0</v>
          </cell>
          <cell r="F314">
            <v>0</v>
          </cell>
          <cell r="G314">
            <v>0</v>
          </cell>
          <cell r="H314">
            <v>366473</v>
          </cell>
          <cell r="I314">
            <v>0</v>
          </cell>
          <cell r="J314">
            <v>366473</v>
          </cell>
          <cell r="K314">
            <v>0</v>
          </cell>
          <cell r="L314">
            <v>0</v>
          </cell>
          <cell r="M314">
            <v>0</v>
          </cell>
          <cell r="N314">
            <v>447447</v>
          </cell>
          <cell r="O314">
            <v>0</v>
          </cell>
          <cell r="P314">
            <v>447447</v>
          </cell>
        </row>
        <row r="315">
          <cell r="A315" t="str">
            <v>JAGPIN BREWERIES LTD.</v>
          </cell>
          <cell r="B315">
            <v>15</v>
          </cell>
          <cell r="C315" t="str">
            <v>Trade Receivables</v>
          </cell>
          <cell r="D315" t="str">
            <v>Other Debts</v>
          </cell>
          <cell r="E315">
            <v>556227</v>
          </cell>
          <cell r="F315">
            <v>0</v>
          </cell>
          <cell r="G315">
            <v>556227</v>
          </cell>
          <cell r="H315">
            <v>0</v>
          </cell>
          <cell r="I315">
            <v>0</v>
          </cell>
          <cell r="J315">
            <v>0</v>
          </cell>
          <cell r="K315">
            <v>521284</v>
          </cell>
          <cell r="L315">
            <v>0</v>
          </cell>
          <cell r="M315">
            <v>521284</v>
          </cell>
          <cell r="N315">
            <v>0</v>
          </cell>
          <cell r="O315">
            <v>0</v>
          </cell>
          <cell r="P315">
            <v>0</v>
          </cell>
        </row>
        <row r="316">
          <cell r="A316" t="str">
            <v>Jai Hanuman Industries, Nagpur</v>
          </cell>
          <cell r="B316">
            <v>7</v>
          </cell>
          <cell r="C316" t="str">
            <v>Trade Payables</v>
          </cell>
          <cell r="D316" t="str">
            <v>Trade Payables</v>
          </cell>
          <cell r="E316">
            <v>0</v>
          </cell>
          <cell r="F316">
            <v>0</v>
          </cell>
          <cell r="G316">
            <v>0</v>
          </cell>
          <cell r="H316">
            <v>0</v>
          </cell>
          <cell r="I316">
            <v>0</v>
          </cell>
          <cell r="J316">
            <v>0</v>
          </cell>
          <cell r="K316">
            <v>0</v>
          </cell>
          <cell r="L316">
            <v>0</v>
          </cell>
          <cell r="M316">
            <v>0</v>
          </cell>
          <cell r="N316">
            <v>0</v>
          </cell>
          <cell r="O316">
            <v>0</v>
          </cell>
          <cell r="P316">
            <v>0</v>
          </cell>
        </row>
        <row r="317">
          <cell r="A317" t="str">
            <v>JAI MAHALAXMI ENTERPRISES</v>
          </cell>
          <cell r="B317">
            <v>15</v>
          </cell>
          <cell r="C317" t="str">
            <v>Trade Receivables</v>
          </cell>
          <cell r="D317" t="str">
            <v>Other Debts</v>
          </cell>
          <cell r="E317">
            <v>50745</v>
          </cell>
          <cell r="F317">
            <v>0</v>
          </cell>
          <cell r="G317">
            <v>50745</v>
          </cell>
          <cell r="H317">
            <v>0</v>
          </cell>
          <cell r="I317">
            <v>0</v>
          </cell>
          <cell r="J317">
            <v>0</v>
          </cell>
          <cell r="K317">
            <v>42545</v>
          </cell>
          <cell r="L317">
            <v>0</v>
          </cell>
          <cell r="M317">
            <v>42545</v>
          </cell>
          <cell r="N317">
            <v>0</v>
          </cell>
          <cell r="O317">
            <v>0</v>
          </cell>
          <cell r="P317">
            <v>0</v>
          </cell>
        </row>
        <row r="318">
          <cell r="A318" t="str">
            <v>Jai Mata Di Waste Paper</v>
          </cell>
          <cell r="B318">
            <v>7</v>
          </cell>
          <cell r="C318" t="str">
            <v>Trade Payables</v>
          </cell>
          <cell r="D318" t="str">
            <v>Trade Payables</v>
          </cell>
          <cell r="E318">
            <v>0</v>
          </cell>
          <cell r="F318">
            <v>0</v>
          </cell>
          <cell r="G318">
            <v>0</v>
          </cell>
          <cell r="H318">
            <v>54442</v>
          </cell>
          <cell r="I318">
            <v>0</v>
          </cell>
          <cell r="J318">
            <v>54442</v>
          </cell>
          <cell r="K318">
            <v>0</v>
          </cell>
          <cell r="L318">
            <v>0</v>
          </cell>
          <cell r="M318">
            <v>0</v>
          </cell>
          <cell r="N318">
            <v>0</v>
          </cell>
          <cell r="O318">
            <v>0</v>
          </cell>
          <cell r="P318">
            <v>0</v>
          </cell>
        </row>
        <row r="319">
          <cell r="A319" t="str">
            <v>JANAKSONS &amp; COMPANY</v>
          </cell>
          <cell r="B319">
            <v>7</v>
          </cell>
          <cell r="C319" t="str">
            <v>Trade Payables</v>
          </cell>
          <cell r="D319" t="str">
            <v>Trade Payables - Others</v>
          </cell>
          <cell r="E319">
            <v>0</v>
          </cell>
          <cell r="F319">
            <v>0</v>
          </cell>
          <cell r="G319">
            <v>0</v>
          </cell>
          <cell r="H319">
            <v>23502</v>
          </cell>
          <cell r="I319">
            <v>0</v>
          </cell>
          <cell r="J319">
            <v>23502</v>
          </cell>
          <cell r="K319">
            <v>0</v>
          </cell>
          <cell r="L319">
            <v>0</v>
          </cell>
          <cell r="M319">
            <v>0</v>
          </cell>
          <cell r="N319">
            <v>28497</v>
          </cell>
          <cell r="O319">
            <v>0</v>
          </cell>
          <cell r="P319">
            <v>28497</v>
          </cell>
        </row>
        <row r="320">
          <cell r="A320" t="str">
            <v>Jarnailsingh Saini (Loan A/c)</v>
          </cell>
          <cell r="B320">
            <v>4</v>
          </cell>
          <cell r="C320" t="str">
            <v>Long Term Borrowings</v>
          </cell>
          <cell r="D320" t="str">
            <v>Unsecured-From Related Party</v>
          </cell>
          <cell r="E320">
            <v>0</v>
          </cell>
          <cell r="F320">
            <v>0</v>
          </cell>
          <cell r="G320">
            <v>0</v>
          </cell>
          <cell r="H320">
            <v>6498343</v>
          </cell>
          <cell r="I320">
            <v>0</v>
          </cell>
          <cell r="J320">
            <v>6498343</v>
          </cell>
          <cell r="K320">
            <v>0</v>
          </cell>
          <cell r="L320">
            <v>0</v>
          </cell>
          <cell r="M320">
            <v>0</v>
          </cell>
          <cell r="N320">
            <v>6500000</v>
          </cell>
          <cell r="O320">
            <v>0</v>
          </cell>
          <cell r="P320">
            <v>6500000</v>
          </cell>
        </row>
        <row r="321">
          <cell r="A321" t="str">
            <v>JB Lightings</v>
          </cell>
          <cell r="B321">
            <v>7</v>
          </cell>
          <cell r="C321" t="str">
            <v>Trade Payables</v>
          </cell>
          <cell r="D321" t="str">
            <v>Trade Payables</v>
          </cell>
          <cell r="E321">
            <v>0</v>
          </cell>
          <cell r="F321">
            <v>0</v>
          </cell>
          <cell r="G321">
            <v>0</v>
          </cell>
          <cell r="H321">
            <v>6710</v>
          </cell>
          <cell r="I321">
            <v>0</v>
          </cell>
          <cell r="J321">
            <v>6710</v>
          </cell>
          <cell r="K321">
            <v>0</v>
          </cell>
          <cell r="L321">
            <v>0</v>
          </cell>
          <cell r="M321">
            <v>0</v>
          </cell>
          <cell r="N321">
            <v>0</v>
          </cell>
          <cell r="O321">
            <v>0</v>
          </cell>
          <cell r="P321">
            <v>0</v>
          </cell>
        </row>
        <row r="322">
          <cell r="A322" t="str">
            <v>Jenson International</v>
          </cell>
          <cell r="B322">
            <v>15</v>
          </cell>
          <cell r="C322" t="str">
            <v>Trade Receivables</v>
          </cell>
          <cell r="D322" t="str">
            <v>Other Debts</v>
          </cell>
          <cell r="E322">
            <v>0</v>
          </cell>
          <cell r="F322">
            <v>0</v>
          </cell>
          <cell r="G322">
            <v>0</v>
          </cell>
          <cell r="H322">
            <v>0</v>
          </cell>
          <cell r="I322">
            <v>0</v>
          </cell>
          <cell r="J322">
            <v>0</v>
          </cell>
          <cell r="K322">
            <v>1545645</v>
          </cell>
          <cell r="L322">
            <v>0</v>
          </cell>
          <cell r="M322">
            <v>1545645</v>
          </cell>
          <cell r="N322">
            <v>0</v>
          </cell>
          <cell r="O322">
            <v>0</v>
          </cell>
          <cell r="P322">
            <v>0</v>
          </cell>
        </row>
        <row r="323">
          <cell r="A323" t="str">
            <v>Jenson Trading Corporation</v>
          </cell>
          <cell r="B323">
            <v>15</v>
          </cell>
          <cell r="C323" t="str">
            <v>Trade Receivables</v>
          </cell>
          <cell r="D323" t="str">
            <v>Other Debts</v>
          </cell>
          <cell r="E323">
            <v>0</v>
          </cell>
          <cell r="F323">
            <v>0</v>
          </cell>
          <cell r="G323">
            <v>0</v>
          </cell>
          <cell r="H323">
            <v>0</v>
          </cell>
          <cell r="I323">
            <v>0</v>
          </cell>
          <cell r="J323">
            <v>0</v>
          </cell>
          <cell r="K323">
            <v>739696</v>
          </cell>
          <cell r="L323">
            <v>0</v>
          </cell>
          <cell r="M323">
            <v>739696</v>
          </cell>
          <cell r="N323">
            <v>0</v>
          </cell>
          <cell r="O323">
            <v>0</v>
          </cell>
          <cell r="P323">
            <v>0</v>
          </cell>
        </row>
        <row r="324">
          <cell r="A324" t="str">
            <v>Jitendra Nikhare</v>
          </cell>
          <cell r="B324">
            <v>12</v>
          </cell>
          <cell r="C324" t="str">
            <v>Long Term Loans &amp; Advances</v>
          </cell>
          <cell r="D324" t="str">
            <v>Loans and Advances to Employees</v>
          </cell>
          <cell r="E324">
            <v>92000</v>
          </cell>
          <cell r="F324">
            <v>0</v>
          </cell>
          <cell r="G324">
            <v>92000</v>
          </cell>
          <cell r="H324">
            <v>0</v>
          </cell>
          <cell r="I324">
            <v>0</v>
          </cell>
          <cell r="J324">
            <v>0</v>
          </cell>
          <cell r="K324">
            <v>80000</v>
          </cell>
          <cell r="L324">
            <v>0</v>
          </cell>
          <cell r="M324">
            <v>80000</v>
          </cell>
          <cell r="N324">
            <v>0</v>
          </cell>
          <cell r="O324">
            <v>0</v>
          </cell>
          <cell r="P324">
            <v>0</v>
          </cell>
        </row>
        <row r="325">
          <cell r="A325" t="str">
            <v>Kailash Kaur</v>
          </cell>
          <cell r="B325">
            <v>4</v>
          </cell>
          <cell r="C325" t="str">
            <v>Long Term Borrowings</v>
          </cell>
          <cell r="D325" t="str">
            <v>Unsecured-From Related Party</v>
          </cell>
          <cell r="E325">
            <v>0</v>
          </cell>
          <cell r="F325">
            <v>0</v>
          </cell>
          <cell r="G325">
            <v>0</v>
          </cell>
          <cell r="H325">
            <v>0</v>
          </cell>
          <cell r="I325">
            <v>0</v>
          </cell>
          <cell r="J325">
            <v>0</v>
          </cell>
          <cell r="K325">
            <v>0</v>
          </cell>
          <cell r="L325">
            <v>0</v>
          </cell>
          <cell r="M325">
            <v>0</v>
          </cell>
          <cell r="N325">
            <v>0</v>
          </cell>
          <cell r="O325">
            <v>0</v>
          </cell>
          <cell r="P325">
            <v>0</v>
          </cell>
        </row>
        <row r="326">
          <cell r="A326" t="str">
            <v>Kailash Kaur Jarnailsingh Saini</v>
          </cell>
          <cell r="B326">
            <v>4</v>
          </cell>
          <cell r="C326" t="str">
            <v>Long Term Borrowings</v>
          </cell>
          <cell r="D326" t="str">
            <v>Unsecured-From Related Party</v>
          </cell>
          <cell r="E326">
            <v>0</v>
          </cell>
          <cell r="F326">
            <v>0</v>
          </cell>
          <cell r="G326">
            <v>0</v>
          </cell>
          <cell r="H326">
            <v>3280041</v>
          </cell>
          <cell r="I326">
            <v>0</v>
          </cell>
          <cell r="J326">
            <v>3280041</v>
          </cell>
          <cell r="K326">
            <v>0</v>
          </cell>
          <cell r="L326">
            <v>0</v>
          </cell>
          <cell r="M326">
            <v>0</v>
          </cell>
          <cell r="N326">
            <v>3000000</v>
          </cell>
          <cell r="O326">
            <v>0</v>
          </cell>
          <cell r="P326">
            <v>3000000</v>
          </cell>
        </row>
        <row r="327">
          <cell r="A327" t="str">
            <v>Kailashchandra P. Agrawal (Loan A/c)</v>
          </cell>
          <cell r="B327">
            <v>4</v>
          </cell>
          <cell r="C327" t="str">
            <v>Long Term Borrowings</v>
          </cell>
          <cell r="D327" t="str">
            <v>Unsecured-From Related Party</v>
          </cell>
          <cell r="E327">
            <v>0</v>
          </cell>
          <cell r="F327">
            <v>0</v>
          </cell>
          <cell r="G327">
            <v>0</v>
          </cell>
          <cell r="H327">
            <v>0</v>
          </cell>
          <cell r="I327">
            <v>0</v>
          </cell>
          <cell r="J327">
            <v>0</v>
          </cell>
          <cell r="K327">
            <v>0</v>
          </cell>
          <cell r="L327">
            <v>0</v>
          </cell>
          <cell r="M327">
            <v>0</v>
          </cell>
          <cell r="N327">
            <v>0</v>
          </cell>
          <cell r="O327">
            <v>0</v>
          </cell>
          <cell r="P327">
            <v>0</v>
          </cell>
        </row>
        <row r="328">
          <cell r="A328" t="str">
            <v>Kajal Sanjay Agrawal</v>
          </cell>
          <cell r="B328">
            <v>4</v>
          </cell>
          <cell r="C328" t="str">
            <v>Long Term Borrowings</v>
          </cell>
          <cell r="D328" t="str">
            <v>Unsecured-From Related Party</v>
          </cell>
          <cell r="E328">
            <v>0</v>
          </cell>
          <cell r="F328">
            <v>0</v>
          </cell>
          <cell r="G328">
            <v>0</v>
          </cell>
          <cell r="H328">
            <v>0</v>
          </cell>
          <cell r="I328">
            <v>0</v>
          </cell>
          <cell r="J328">
            <v>0</v>
          </cell>
          <cell r="K328">
            <v>0</v>
          </cell>
          <cell r="L328">
            <v>0</v>
          </cell>
          <cell r="M328">
            <v>0</v>
          </cell>
          <cell r="N328">
            <v>0</v>
          </cell>
          <cell r="O328">
            <v>0</v>
          </cell>
          <cell r="P328">
            <v>0</v>
          </cell>
        </row>
        <row r="329">
          <cell r="A329" t="str">
            <v>KARAN ENTERPRISES (WP)</v>
          </cell>
          <cell r="B329">
            <v>7</v>
          </cell>
          <cell r="C329" t="str">
            <v>Trade Payables</v>
          </cell>
          <cell r="D329" t="str">
            <v>Trade Payables</v>
          </cell>
          <cell r="E329">
            <v>0</v>
          </cell>
          <cell r="F329">
            <v>0</v>
          </cell>
          <cell r="G329">
            <v>0</v>
          </cell>
          <cell r="H329">
            <v>6148401.5</v>
          </cell>
          <cell r="I329">
            <v>0</v>
          </cell>
          <cell r="J329">
            <v>6148401.5</v>
          </cell>
          <cell r="K329">
            <v>0</v>
          </cell>
          <cell r="L329">
            <v>0</v>
          </cell>
          <cell r="M329">
            <v>0</v>
          </cell>
          <cell r="N329">
            <v>3476359.5</v>
          </cell>
          <cell r="O329">
            <v>0</v>
          </cell>
          <cell r="P329">
            <v>3476359.5</v>
          </cell>
        </row>
        <row r="330">
          <cell r="A330" t="str">
            <v>Karnailsingh Saini</v>
          </cell>
          <cell r="B330">
            <v>4</v>
          </cell>
          <cell r="C330" t="str">
            <v>Long Term Borrowings</v>
          </cell>
          <cell r="D330" t="str">
            <v>Unsecured-From Related Party</v>
          </cell>
          <cell r="E330">
            <v>0</v>
          </cell>
          <cell r="F330">
            <v>0</v>
          </cell>
          <cell r="G330">
            <v>0</v>
          </cell>
          <cell r="H330">
            <v>0</v>
          </cell>
          <cell r="I330">
            <v>0</v>
          </cell>
          <cell r="J330">
            <v>0</v>
          </cell>
          <cell r="K330">
            <v>0</v>
          </cell>
          <cell r="L330">
            <v>0</v>
          </cell>
          <cell r="M330">
            <v>0</v>
          </cell>
          <cell r="N330">
            <v>0</v>
          </cell>
          <cell r="O330">
            <v>0</v>
          </cell>
          <cell r="P330">
            <v>0</v>
          </cell>
        </row>
        <row r="331">
          <cell r="A331" t="str">
            <v>KAYGAON PAPER MILL.LTD. (Other Sale)</v>
          </cell>
          <cell r="B331">
            <v>15</v>
          </cell>
          <cell r="C331" t="str">
            <v>Trade Receivables</v>
          </cell>
          <cell r="D331" t="str">
            <v>Other Debts</v>
          </cell>
          <cell r="E331">
            <v>0</v>
          </cell>
          <cell r="F331">
            <v>0</v>
          </cell>
          <cell r="G331">
            <v>0</v>
          </cell>
          <cell r="H331">
            <v>0</v>
          </cell>
          <cell r="I331">
            <v>0</v>
          </cell>
          <cell r="J331">
            <v>0</v>
          </cell>
          <cell r="K331">
            <v>0</v>
          </cell>
          <cell r="L331">
            <v>0</v>
          </cell>
          <cell r="M331">
            <v>0</v>
          </cell>
          <cell r="N331">
            <v>0</v>
          </cell>
          <cell r="O331">
            <v>0</v>
          </cell>
          <cell r="P331">
            <v>0</v>
          </cell>
        </row>
        <row r="332">
          <cell r="A332" t="str">
            <v>KEDAR PAPER CONVERSIONS</v>
          </cell>
          <cell r="B332">
            <v>15</v>
          </cell>
          <cell r="C332" t="str">
            <v>Trade Receivables</v>
          </cell>
          <cell r="D332" t="str">
            <v>Other Debts</v>
          </cell>
          <cell r="E332">
            <v>0</v>
          </cell>
          <cell r="F332">
            <v>0</v>
          </cell>
          <cell r="G332">
            <v>0</v>
          </cell>
          <cell r="H332">
            <v>25611</v>
          </cell>
          <cell r="I332">
            <v>0</v>
          </cell>
          <cell r="J332">
            <v>25611</v>
          </cell>
          <cell r="K332">
            <v>709104</v>
          </cell>
          <cell r="L332">
            <v>0</v>
          </cell>
          <cell r="M332">
            <v>709104</v>
          </cell>
          <cell r="N332">
            <v>0</v>
          </cell>
          <cell r="O332">
            <v>0</v>
          </cell>
          <cell r="P332">
            <v>0</v>
          </cell>
        </row>
        <row r="333">
          <cell r="A333" t="str">
            <v>KKC  @ 0.5 % On Import Expenses</v>
          </cell>
          <cell r="B333">
            <v>26</v>
          </cell>
          <cell r="C333" t="str">
            <v>Other Expenses</v>
          </cell>
          <cell r="D333" t="str">
            <v>Establishment Expenses-Rates &amp; Taxes</v>
          </cell>
          <cell r="E333">
            <v>0</v>
          </cell>
          <cell r="F333">
            <v>0</v>
          </cell>
          <cell r="G333">
            <v>0</v>
          </cell>
          <cell r="H333">
            <v>0</v>
          </cell>
          <cell r="I333">
            <v>0</v>
          </cell>
          <cell r="J333">
            <v>0</v>
          </cell>
          <cell r="K333">
            <v>0</v>
          </cell>
          <cell r="L333">
            <v>0</v>
          </cell>
          <cell r="M333">
            <v>0</v>
          </cell>
          <cell r="N333">
            <v>0</v>
          </cell>
          <cell r="O333">
            <v>0</v>
          </cell>
          <cell r="P333">
            <v>0</v>
          </cell>
        </row>
        <row r="334">
          <cell r="A334" t="str">
            <v>KKC .5% (On Commission Ser Tax)</v>
          </cell>
          <cell r="B334">
            <v>26</v>
          </cell>
          <cell r="C334" t="str">
            <v>Other Expenses</v>
          </cell>
          <cell r="D334" t="str">
            <v>Establishment Expenses-Rates &amp; Taxes</v>
          </cell>
          <cell r="E334">
            <v>0</v>
          </cell>
          <cell r="F334">
            <v>0</v>
          </cell>
          <cell r="G334">
            <v>0</v>
          </cell>
          <cell r="H334">
            <v>0</v>
          </cell>
          <cell r="I334">
            <v>0</v>
          </cell>
          <cell r="J334">
            <v>0</v>
          </cell>
          <cell r="K334">
            <v>0</v>
          </cell>
          <cell r="L334">
            <v>0</v>
          </cell>
          <cell r="M334">
            <v>0</v>
          </cell>
          <cell r="N334">
            <v>0</v>
          </cell>
          <cell r="O334">
            <v>0</v>
          </cell>
          <cell r="P334">
            <v>0</v>
          </cell>
        </row>
        <row r="335">
          <cell r="A335" t="str">
            <v>KKC @0.5% on (Contractor)</v>
          </cell>
          <cell r="B335">
            <v>26</v>
          </cell>
          <cell r="C335" t="str">
            <v>Other Expenses</v>
          </cell>
          <cell r="D335" t="str">
            <v>Establishment Expenses-Rates &amp; Taxes</v>
          </cell>
          <cell r="E335">
            <v>0</v>
          </cell>
          <cell r="F335">
            <v>0</v>
          </cell>
          <cell r="G335">
            <v>0</v>
          </cell>
          <cell r="H335">
            <v>0</v>
          </cell>
          <cell r="I335">
            <v>0</v>
          </cell>
          <cell r="J335">
            <v>0</v>
          </cell>
          <cell r="K335">
            <v>0</v>
          </cell>
          <cell r="L335">
            <v>0</v>
          </cell>
          <cell r="M335">
            <v>0</v>
          </cell>
          <cell r="N335">
            <v>0</v>
          </cell>
          <cell r="O335">
            <v>0</v>
          </cell>
          <cell r="P335">
            <v>0</v>
          </cell>
        </row>
        <row r="336">
          <cell r="A336" t="str">
            <v>KKC @0.5% on (Transportation)</v>
          </cell>
          <cell r="B336">
            <v>26</v>
          </cell>
          <cell r="C336" t="str">
            <v>Other Expenses</v>
          </cell>
          <cell r="D336" t="str">
            <v>Establishment Expenses-Rates &amp; Taxes</v>
          </cell>
          <cell r="E336">
            <v>0</v>
          </cell>
          <cell r="F336">
            <v>0</v>
          </cell>
          <cell r="G336">
            <v>0</v>
          </cell>
          <cell r="H336">
            <v>0</v>
          </cell>
          <cell r="I336">
            <v>0</v>
          </cell>
          <cell r="J336">
            <v>0</v>
          </cell>
          <cell r="K336">
            <v>0</v>
          </cell>
          <cell r="L336">
            <v>0</v>
          </cell>
          <cell r="M336">
            <v>0</v>
          </cell>
          <cell r="N336">
            <v>0</v>
          </cell>
          <cell r="O336">
            <v>0</v>
          </cell>
          <cell r="P336">
            <v>0</v>
          </cell>
        </row>
        <row r="337">
          <cell r="A337" t="str">
            <v>KKC @0.5% on Others</v>
          </cell>
          <cell r="B337">
            <v>26</v>
          </cell>
          <cell r="C337" t="str">
            <v>Other Expenses</v>
          </cell>
          <cell r="D337" t="str">
            <v>Establishment Expenses-Rates &amp; Taxes</v>
          </cell>
          <cell r="E337">
            <v>0</v>
          </cell>
          <cell r="F337">
            <v>0</v>
          </cell>
          <cell r="G337">
            <v>0</v>
          </cell>
          <cell r="H337">
            <v>0</v>
          </cell>
          <cell r="I337">
            <v>0</v>
          </cell>
          <cell r="J337">
            <v>0</v>
          </cell>
          <cell r="K337">
            <v>0</v>
          </cell>
          <cell r="L337">
            <v>0</v>
          </cell>
          <cell r="M337">
            <v>0</v>
          </cell>
          <cell r="N337">
            <v>0</v>
          </cell>
          <cell r="O337">
            <v>0</v>
          </cell>
          <cell r="P337">
            <v>0</v>
          </cell>
        </row>
        <row r="338">
          <cell r="A338" t="str">
            <v>Kraftpro Marketing Private Limited.</v>
          </cell>
          <cell r="B338">
            <v>17</v>
          </cell>
          <cell r="C338" t="str">
            <v>Short Term Loans &amp; Advances</v>
          </cell>
          <cell r="D338" t="str">
            <v>Advance to Suppliers</v>
          </cell>
          <cell r="E338">
            <v>0</v>
          </cell>
          <cell r="F338">
            <v>0</v>
          </cell>
          <cell r="G338">
            <v>0</v>
          </cell>
          <cell r="H338">
            <v>0</v>
          </cell>
          <cell r="I338">
            <v>0</v>
          </cell>
          <cell r="J338">
            <v>0</v>
          </cell>
          <cell r="K338">
            <v>0</v>
          </cell>
          <cell r="L338">
            <v>0</v>
          </cell>
          <cell r="M338">
            <v>0</v>
          </cell>
          <cell r="N338">
            <v>0</v>
          </cell>
          <cell r="O338">
            <v>0</v>
          </cell>
          <cell r="P338">
            <v>0</v>
          </cell>
        </row>
        <row r="339">
          <cell r="A339" t="str">
            <v>Kuldeepsingh Saini</v>
          </cell>
          <cell r="B339">
            <v>4</v>
          </cell>
          <cell r="C339" t="str">
            <v>Long Term Borrowings</v>
          </cell>
          <cell r="D339" t="str">
            <v>Unsecured-From Related Party</v>
          </cell>
          <cell r="E339">
            <v>0</v>
          </cell>
          <cell r="F339">
            <v>0</v>
          </cell>
          <cell r="G339">
            <v>0</v>
          </cell>
          <cell r="H339">
            <v>0</v>
          </cell>
          <cell r="I339">
            <v>0</v>
          </cell>
          <cell r="J339">
            <v>0</v>
          </cell>
          <cell r="K339">
            <v>0</v>
          </cell>
          <cell r="L339">
            <v>0</v>
          </cell>
          <cell r="M339">
            <v>0</v>
          </cell>
          <cell r="N339">
            <v>0</v>
          </cell>
          <cell r="O339">
            <v>0</v>
          </cell>
          <cell r="P339">
            <v>0</v>
          </cell>
        </row>
        <row r="340">
          <cell r="A340" t="str">
            <v>BHOLANATH MITRA</v>
          </cell>
          <cell r="B340">
            <v>12</v>
          </cell>
          <cell r="C340" t="str">
            <v>Long Term Loans &amp; Advances</v>
          </cell>
          <cell r="D340" t="str">
            <v>Loans and Advances to Employees</v>
          </cell>
          <cell r="E340">
            <v>2000</v>
          </cell>
          <cell r="F340">
            <v>0</v>
          </cell>
          <cell r="G340">
            <v>2000</v>
          </cell>
          <cell r="H340">
            <v>0</v>
          </cell>
          <cell r="I340">
            <v>0</v>
          </cell>
          <cell r="J340">
            <v>0</v>
          </cell>
          <cell r="K340">
            <v>0</v>
          </cell>
          <cell r="L340">
            <v>0</v>
          </cell>
          <cell r="M340">
            <v>0</v>
          </cell>
          <cell r="N340">
            <v>0</v>
          </cell>
          <cell r="O340">
            <v>0</v>
          </cell>
          <cell r="P340">
            <v>0</v>
          </cell>
        </row>
        <row r="341">
          <cell r="A341" t="str">
            <v>Manohar Rewatkar</v>
          </cell>
          <cell r="B341">
            <v>12</v>
          </cell>
          <cell r="C341" t="str">
            <v>Long Term Loans &amp; Advances</v>
          </cell>
          <cell r="D341" t="str">
            <v>Loans and Advances to Employees</v>
          </cell>
          <cell r="E341">
            <v>6000</v>
          </cell>
          <cell r="F341">
            <v>0</v>
          </cell>
          <cell r="G341">
            <v>6000</v>
          </cell>
          <cell r="H341">
            <v>0</v>
          </cell>
          <cell r="I341">
            <v>0</v>
          </cell>
          <cell r="J341">
            <v>0</v>
          </cell>
          <cell r="K341">
            <v>0</v>
          </cell>
          <cell r="L341">
            <v>0</v>
          </cell>
          <cell r="M341">
            <v>0</v>
          </cell>
          <cell r="N341">
            <v>0</v>
          </cell>
          <cell r="O341">
            <v>0</v>
          </cell>
          <cell r="P341">
            <v>0</v>
          </cell>
        </row>
        <row r="342">
          <cell r="A342" t="str">
            <v>Sunil Nate</v>
          </cell>
          <cell r="B342">
            <v>12</v>
          </cell>
          <cell r="C342" t="str">
            <v>Long Term Loans &amp; Advances</v>
          </cell>
          <cell r="D342" t="str">
            <v>Loans and Advances to Employees</v>
          </cell>
          <cell r="E342">
            <v>22000</v>
          </cell>
          <cell r="F342">
            <v>0</v>
          </cell>
          <cell r="G342">
            <v>22000</v>
          </cell>
          <cell r="H342">
            <v>0</v>
          </cell>
          <cell r="I342">
            <v>0</v>
          </cell>
          <cell r="J342">
            <v>0</v>
          </cell>
          <cell r="K342">
            <v>0</v>
          </cell>
          <cell r="L342">
            <v>0</v>
          </cell>
          <cell r="M342">
            <v>0</v>
          </cell>
          <cell r="N342">
            <v>0</v>
          </cell>
          <cell r="O342">
            <v>0</v>
          </cell>
          <cell r="P342">
            <v>0</v>
          </cell>
        </row>
        <row r="343">
          <cell r="A343" t="str">
            <v>Kunal Jain</v>
          </cell>
          <cell r="B343">
            <v>12</v>
          </cell>
          <cell r="C343" t="str">
            <v>Long Term Loans &amp; Advances</v>
          </cell>
          <cell r="D343" t="str">
            <v>Loans and Advances to Employees</v>
          </cell>
          <cell r="E343">
            <v>23000</v>
          </cell>
          <cell r="F343">
            <v>0</v>
          </cell>
          <cell r="G343">
            <v>23000</v>
          </cell>
          <cell r="H343">
            <v>0</v>
          </cell>
          <cell r="I343">
            <v>0</v>
          </cell>
          <cell r="J343">
            <v>0</v>
          </cell>
          <cell r="K343">
            <v>41000</v>
          </cell>
          <cell r="L343">
            <v>0</v>
          </cell>
          <cell r="M343">
            <v>41000</v>
          </cell>
          <cell r="N343">
            <v>0</v>
          </cell>
          <cell r="O343">
            <v>0</v>
          </cell>
          <cell r="P343">
            <v>0</v>
          </cell>
        </row>
        <row r="344">
          <cell r="A344" t="str">
            <v>Chandrashekhar Balki</v>
          </cell>
          <cell r="B344">
            <v>12</v>
          </cell>
          <cell r="C344" t="str">
            <v>Long Term Loans &amp; Advances</v>
          </cell>
          <cell r="D344" t="str">
            <v>Loans and Advances to Employees</v>
          </cell>
          <cell r="E344">
            <v>7000</v>
          </cell>
          <cell r="F344">
            <v>0</v>
          </cell>
          <cell r="G344">
            <v>7000</v>
          </cell>
          <cell r="H344">
            <v>0</v>
          </cell>
          <cell r="I344">
            <v>0</v>
          </cell>
          <cell r="J344">
            <v>0</v>
          </cell>
          <cell r="K344">
            <v>0</v>
          </cell>
          <cell r="L344">
            <v>0</v>
          </cell>
          <cell r="M344">
            <v>0</v>
          </cell>
          <cell r="N344">
            <v>0</v>
          </cell>
          <cell r="O344">
            <v>0</v>
          </cell>
          <cell r="P344">
            <v>0</v>
          </cell>
        </row>
        <row r="345">
          <cell r="A345" t="str">
            <v>L. A. Trading Company</v>
          </cell>
          <cell r="B345">
            <v>7</v>
          </cell>
          <cell r="C345" t="str">
            <v>Trade Payables</v>
          </cell>
          <cell r="D345" t="str">
            <v>Trade Payables</v>
          </cell>
          <cell r="E345">
            <v>0</v>
          </cell>
          <cell r="F345">
            <v>0</v>
          </cell>
          <cell r="G345">
            <v>0</v>
          </cell>
          <cell r="H345">
            <v>0</v>
          </cell>
          <cell r="I345">
            <v>0</v>
          </cell>
          <cell r="J345">
            <v>0</v>
          </cell>
          <cell r="K345">
            <v>0</v>
          </cell>
          <cell r="L345">
            <v>0</v>
          </cell>
          <cell r="M345">
            <v>0</v>
          </cell>
          <cell r="N345">
            <v>28611</v>
          </cell>
          <cell r="O345">
            <v>0</v>
          </cell>
          <cell r="P345">
            <v>28611</v>
          </cell>
        </row>
        <row r="346">
          <cell r="A346" t="str">
            <v>L.I.C. Payable</v>
          </cell>
          <cell r="B346">
            <v>7</v>
          </cell>
          <cell r="C346" t="str">
            <v>Trade Payables</v>
          </cell>
          <cell r="D346" t="str">
            <v>Trade Payables - Others</v>
          </cell>
          <cell r="E346">
            <v>0</v>
          </cell>
          <cell r="F346">
            <v>0</v>
          </cell>
          <cell r="G346">
            <v>0</v>
          </cell>
          <cell r="H346">
            <v>49045</v>
          </cell>
          <cell r="I346">
            <v>0</v>
          </cell>
          <cell r="J346">
            <v>49045</v>
          </cell>
          <cell r="K346">
            <v>0</v>
          </cell>
          <cell r="L346">
            <v>0</v>
          </cell>
          <cell r="M346">
            <v>0</v>
          </cell>
          <cell r="N346">
            <v>44653</v>
          </cell>
          <cell r="O346">
            <v>0</v>
          </cell>
          <cell r="P346">
            <v>44653</v>
          </cell>
        </row>
        <row r="347">
          <cell r="A347" t="str">
            <v>Labour Quarters</v>
          </cell>
          <cell r="B347">
            <v>10</v>
          </cell>
          <cell r="C347" t="str">
            <v>Fixed Assets</v>
          </cell>
          <cell r="D347" t="str">
            <v>Tangible Asset</v>
          </cell>
          <cell r="E347">
            <v>0</v>
          </cell>
          <cell r="F347">
            <v>0</v>
          </cell>
          <cell r="G347">
            <v>0</v>
          </cell>
          <cell r="H347">
            <v>0</v>
          </cell>
          <cell r="I347">
            <v>0</v>
          </cell>
          <cell r="J347">
            <v>0</v>
          </cell>
          <cell r="K347">
            <v>0</v>
          </cell>
          <cell r="L347">
            <v>0</v>
          </cell>
          <cell r="M347">
            <v>0</v>
          </cell>
          <cell r="N347">
            <v>0</v>
          </cell>
          <cell r="O347">
            <v>0</v>
          </cell>
          <cell r="P347">
            <v>0</v>
          </cell>
        </row>
        <row r="348">
          <cell r="A348" t="str">
            <v>Labour Welfare Fund</v>
          </cell>
          <cell r="B348">
            <v>26</v>
          </cell>
          <cell r="C348" t="str">
            <v>Other Expenses</v>
          </cell>
          <cell r="D348" t="str">
            <v>Establishment Expenses-Rates &amp; Taxes</v>
          </cell>
          <cell r="E348">
            <v>14352</v>
          </cell>
          <cell r="F348">
            <v>0</v>
          </cell>
          <cell r="G348">
            <v>14352</v>
          </cell>
          <cell r="H348">
            <v>0</v>
          </cell>
          <cell r="I348">
            <v>0</v>
          </cell>
          <cell r="J348">
            <v>0</v>
          </cell>
          <cell r="K348">
            <v>14688</v>
          </cell>
          <cell r="L348">
            <v>0</v>
          </cell>
          <cell r="M348">
            <v>14688</v>
          </cell>
          <cell r="N348">
            <v>0</v>
          </cell>
          <cell r="O348">
            <v>0</v>
          </cell>
          <cell r="P348">
            <v>0</v>
          </cell>
        </row>
        <row r="349">
          <cell r="A349" t="str">
            <v>CSR Expenses</v>
          </cell>
          <cell r="B349">
            <v>26</v>
          </cell>
          <cell r="C349" t="str">
            <v>Other Expenses</v>
          </cell>
          <cell r="D349" t="str">
            <v>Establishment Expenses-Rates &amp; Taxes</v>
          </cell>
          <cell r="E349">
            <v>380250</v>
          </cell>
          <cell r="F349">
            <v>0</v>
          </cell>
          <cell r="G349">
            <v>380250</v>
          </cell>
          <cell r="H349">
            <v>0</v>
          </cell>
          <cell r="I349">
            <v>0</v>
          </cell>
          <cell r="J349">
            <v>0</v>
          </cell>
          <cell r="K349">
            <v>0</v>
          </cell>
          <cell r="L349">
            <v>0</v>
          </cell>
          <cell r="M349">
            <v>0</v>
          </cell>
          <cell r="N349">
            <v>0</v>
          </cell>
          <cell r="O349">
            <v>0</v>
          </cell>
          <cell r="P349">
            <v>0</v>
          </cell>
        </row>
        <row r="350">
          <cell r="A350" t="str">
            <v>Carriage Inward (Sale)</v>
          </cell>
          <cell r="B350">
            <v>26</v>
          </cell>
          <cell r="C350" t="str">
            <v>Other Expenses</v>
          </cell>
          <cell r="D350" t="str">
            <v>Establishment Expenses-Rates &amp; Taxes</v>
          </cell>
          <cell r="E350">
            <v>6500</v>
          </cell>
          <cell r="F350">
            <v>0</v>
          </cell>
          <cell r="G350">
            <v>6500</v>
          </cell>
          <cell r="H350">
            <v>0</v>
          </cell>
          <cell r="I350">
            <v>0</v>
          </cell>
          <cell r="J350">
            <v>0</v>
          </cell>
          <cell r="K350">
            <v>0</v>
          </cell>
          <cell r="L350">
            <v>0</v>
          </cell>
          <cell r="M350">
            <v>0</v>
          </cell>
          <cell r="N350">
            <v>0</v>
          </cell>
          <cell r="O350">
            <v>0</v>
          </cell>
          <cell r="P350">
            <v>0</v>
          </cell>
        </row>
        <row r="351">
          <cell r="A351" t="str">
            <v>LAKHOTIYA TRADERS PVT. LTD.</v>
          </cell>
          <cell r="B351">
            <v>7</v>
          </cell>
          <cell r="C351" t="str">
            <v>Trade Payables</v>
          </cell>
          <cell r="D351" t="str">
            <v>Trade Payables</v>
          </cell>
          <cell r="E351">
            <v>0</v>
          </cell>
          <cell r="F351">
            <v>0</v>
          </cell>
          <cell r="G351">
            <v>0</v>
          </cell>
          <cell r="H351">
            <v>2096163</v>
          </cell>
          <cell r="I351">
            <v>0</v>
          </cell>
          <cell r="J351">
            <v>2096163</v>
          </cell>
          <cell r="K351">
            <v>0</v>
          </cell>
          <cell r="L351">
            <v>0</v>
          </cell>
          <cell r="M351">
            <v>0</v>
          </cell>
          <cell r="N351">
            <v>1191319</v>
          </cell>
          <cell r="O351">
            <v>0</v>
          </cell>
          <cell r="P351">
            <v>1191319</v>
          </cell>
        </row>
        <row r="352">
          <cell r="A352" t="str">
            <v>Lakhotiya Traders Pvt. Ltd. (Sale)</v>
          </cell>
          <cell r="B352">
            <v>15</v>
          </cell>
          <cell r="C352" t="str">
            <v>Trade Receivables</v>
          </cell>
          <cell r="D352" t="str">
            <v>Trade Receivables</v>
          </cell>
          <cell r="E352">
            <v>16521941</v>
          </cell>
          <cell r="F352">
            <v>0</v>
          </cell>
          <cell r="G352">
            <v>16521941</v>
          </cell>
          <cell r="H352">
            <v>0</v>
          </cell>
          <cell r="I352">
            <v>0</v>
          </cell>
          <cell r="J352">
            <v>0</v>
          </cell>
          <cell r="K352">
            <v>14635343</v>
          </cell>
          <cell r="L352">
            <v>0</v>
          </cell>
          <cell r="M352">
            <v>14635343</v>
          </cell>
          <cell r="N352">
            <v>0</v>
          </cell>
          <cell r="O352">
            <v>0</v>
          </cell>
          <cell r="P352">
            <v>0</v>
          </cell>
        </row>
        <row r="353">
          <cell r="A353" t="str">
            <v>Lark Dyechem</v>
          </cell>
          <cell r="B353">
            <v>7</v>
          </cell>
          <cell r="C353" t="str">
            <v>Trade Payables</v>
          </cell>
          <cell r="D353" t="str">
            <v>Trade Payables</v>
          </cell>
          <cell r="E353">
            <v>0</v>
          </cell>
          <cell r="F353">
            <v>0</v>
          </cell>
          <cell r="G353">
            <v>0</v>
          </cell>
          <cell r="H353">
            <v>635040</v>
          </cell>
          <cell r="I353">
            <v>0</v>
          </cell>
          <cell r="J353">
            <v>635040</v>
          </cell>
          <cell r="K353">
            <v>0</v>
          </cell>
          <cell r="L353">
            <v>0</v>
          </cell>
          <cell r="M353">
            <v>0</v>
          </cell>
          <cell r="N353">
            <v>2736592</v>
          </cell>
          <cell r="O353">
            <v>0</v>
          </cell>
          <cell r="P353">
            <v>2736592</v>
          </cell>
        </row>
        <row r="354">
          <cell r="A354" t="str">
            <v>Late Fee</v>
          </cell>
          <cell r="B354">
            <v>26</v>
          </cell>
          <cell r="C354" t="str">
            <v>Other Expenses</v>
          </cell>
          <cell r="D354" t="str">
            <v>Establishment Expenses-Rates &amp; Taxes</v>
          </cell>
          <cell r="E354">
            <v>0</v>
          </cell>
          <cell r="F354">
            <v>0</v>
          </cell>
          <cell r="G354">
            <v>0</v>
          </cell>
          <cell r="H354">
            <v>0</v>
          </cell>
          <cell r="I354">
            <v>0</v>
          </cell>
          <cell r="J354">
            <v>0</v>
          </cell>
          <cell r="K354">
            <v>3450</v>
          </cell>
          <cell r="L354">
            <v>0</v>
          </cell>
          <cell r="M354">
            <v>3450</v>
          </cell>
          <cell r="N354">
            <v>0</v>
          </cell>
          <cell r="O354">
            <v>0</v>
          </cell>
          <cell r="P354">
            <v>0</v>
          </cell>
        </row>
        <row r="355">
          <cell r="A355" t="str">
            <v>Lc Charges</v>
          </cell>
          <cell r="B355">
            <v>25</v>
          </cell>
          <cell r="C355" t="str">
            <v>Finance Costs</v>
          </cell>
          <cell r="D355" t="str">
            <v>Interest Expenses</v>
          </cell>
          <cell r="E355">
            <v>0</v>
          </cell>
          <cell r="F355">
            <v>0</v>
          </cell>
          <cell r="G355">
            <v>0</v>
          </cell>
          <cell r="H355">
            <v>0</v>
          </cell>
          <cell r="I355">
            <v>0</v>
          </cell>
          <cell r="J355">
            <v>0</v>
          </cell>
          <cell r="K355">
            <v>6243</v>
          </cell>
          <cell r="L355">
            <v>0</v>
          </cell>
          <cell r="M355">
            <v>6243</v>
          </cell>
          <cell r="N355">
            <v>0</v>
          </cell>
          <cell r="O355">
            <v>0</v>
          </cell>
          <cell r="P355">
            <v>0</v>
          </cell>
        </row>
        <row r="356">
          <cell r="A356" t="str">
            <v>Lean to Shed (North Side)</v>
          </cell>
          <cell r="B356">
            <v>10</v>
          </cell>
          <cell r="C356" t="str">
            <v>Fixed Assets</v>
          </cell>
          <cell r="D356" t="str">
            <v>Tangible Asset</v>
          </cell>
          <cell r="E356">
            <v>0</v>
          </cell>
          <cell r="F356">
            <v>0</v>
          </cell>
          <cell r="G356">
            <v>0</v>
          </cell>
          <cell r="H356">
            <v>0</v>
          </cell>
          <cell r="I356">
            <v>0</v>
          </cell>
          <cell r="J356">
            <v>0</v>
          </cell>
          <cell r="K356">
            <v>0</v>
          </cell>
          <cell r="L356">
            <v>0</v>
          </cell>
          <cell r="M356">
            <v>0</v>
          </cell>
          <cell r="N356">
            <v>0</v>
          </cell>
          <cell r="O356">
            <v>0</v>
          </cell>
          <cell r="P356">
            <v>0</v>
          </cell>
        </row>
        <row r="357">
          <cell r="A357" t="str">
            <v>Lean to Shed (South Side)</v>
          </cell>
          <cell r="B357">
            <v>10</v>
          </cell>
          <cell r="C357" t="str">
            <v>Fixed Assets</v>
          </cell>
          <cell r="D357" t="str">
            <v>Tangible Asset</v>
          </cell>
          <cell r="E357">
            <v>0</v>
          </cell>
          <cell r="F357">
            <v>0</v>
          </cell>
          <cell r="G357">
            <v>0</v>
          </cell>
          <cell r="H357">
            <v>0</v>
          </cell>
          <cell r="I357">
            <v>0</v>
          </cell>
          <cell r="J357">
            <v>0</v>
          </cell>
          <cell r="K357">
            <v>0</v>
          </cell>
          <cell r="L357">
            <v>0</v>
          </cell>
          <cell r="M357">
            <v>0</v>
          </cell>
          <cell r="N357">
            <v>0</v>
          </cell>
          <cell r="O357">
            <v>0</v>
          </cell>
          <cell r="P357">
            <v>0</v>
          </cell>
        </row>
        <row r="358">
          <cell r="A358" t="str">
            <v>Leave Encashment</v>
          </cell>
          <cell r="B358">
            <v>24</v>
          </cell>
          <cell r="C358" t="str">
            <v>Employee Benefit Expenses</v>
          </cell>
          <cell r="D358" t="str">
            <v>Salary &amp; Wages</v>
          </cell>
          <cell r="E358">
            <v>195649</v>
          </cell>
          <cell r="F358">
            <v>0</v>
          </cell>
          <cell r="G358">
            <v>195649</v>
          </cell>
          <cell r="H358">
            <v>0</v>
          </cell>
          <cell r="I358">
            <v>0</v>
          </cell>
          <cell r="J358">
            <v>0</v>
          </cell>
          <cell r="K358">
            <v>247570</v>
          </cell>
          <cell r="L358">
            <v>0</v>
          </cell>
          <cell r="M358">
            <v>247570</v>
          </cell>
          <cell r="N358">
            <v>0</v>
          </cell>
          <cell r="O358">
            <v>0</v>
          </cell>
          <cell r="P358">
            <v>0</v>
          </cell>
        </row>
        <row r="359">
          <cell r="A359" t="str">
            <v>Leave Encashment Payable</v>
          </cell>
          <cell r="B359">
            <v>9</v>
          </cell>
          <cell r="C359" t="str">
            <v>Short Term Provision</v>
          </cell>
          <cell r="D359" t="str">
            <v>Provision for Employee Benefit</v>
          </cell>
          <cell r="E359">
            <v>0</v>
          </cell>
          <cell r="F359">
            <v>0</v>
          </cell>
          <cell r="G359">
            <v>0</v>
          </cell>
          <cell r="H359">
            <v>195649</v>
          </cell>
          <cell r="I359">
            <v>0</v>
          </cell>
          <cell r="J359">
            <v>195649</v>
          </cell>
          <cell r="K359">
            <v>0</v>
          </cell>
          <cell r="L359">
            <v>0</v>
          </cell>
          <cell r="M359">
            <v>0</v>
          </cell>
          <cell r="N359">
            <v>184974</v>
          </cell>
          <cell r="O359">
            <v>0</v>
          </cell>
          <cell r="P359">
            <v>184974</v>
          </cell>
        </row>
        <row r="360">
          <cell r="A360" t="str">
            <v>Legal &amp; Proffessional  Charges</v>
          </cell>
          <cell r="B360">
            <v>26</v>
          </cell>
          <cell r="C360" t="str">
            <v>Other Expenses</v>
          </cell>
          <cell r="D360" t="str">
            <v>Establishment Expenses-Legal &amp; Professional Charges</v>
          </cell>
          <cell r="E360">
            <v>133198.18</v>
          </cell>
          <cell r="F360">
            <v>0</v>
          </cell>
          <cell r="G360">
            <v>133198.18</v>
          </cell>
          <cell r="H360">
            <v>0</v>
          </cell>
          <cell r="I360">
            <v>0</v>
          </cell>
          <cell r="J360">
            <v>0</v>
          </cell>
          <cell r="K360">
            <v>642892</v>
          </cell>
          <cell r="L360">
            <v>0</v>
          </cell>
          <cell r="M360">
            <v>642892</v>
          </cell>
          <cell r="N360">
            <v>0</v>
          </cell>
          <cell r="O360">
            <v>0</v>
          </cell>
          <cell r="P360">
            <v>0</v>
          </cell>
        </row>
        <row r="361">
          <cell r="A361" t="str">
            <v>LISTING CHARGES</v>
          </cell>
          <cell r="B361">
            <v>26</v>
          </cell>
          <cell r="C361" t="str">
            <v>Other Expenses</v>
          </cell>
          <cell r="D361" t="str">
            <v>Establishment Expenses-Listing Expense</v>
          </cell>
          <cell r="E361">
            <v>0</v>
          </cell>
          <cell r="F361">
            <v>0</v>
          </cell>
          <cell r="G361">
            <v>0</v>
          </cell>
          <cell r="H361">
            <v>0</v>
          </cell>
          <cell r="I361">
            <v>0</v>
          </cell>
          <cell r="J361">
            <v>0</v>
          </cell>
          <cell r="K361">
            <v>0</v>
          </cell>
          <cell r="L361">
            <v>0</v>
          </cell>
          <cell r="M361">
            <v>0</v>
          </cell>
          <cell r="N361">
            <v>0</v>
          </cell>
          <cell r="O361">
            <v>0</v>
          </cell>
          <cell r="P361">
            <v>0</v>
          </cell>
        </row>
        <row r="362">
          <cell r="A362" t="str">
            <v>Lusha Print N Pack</v>
          </cell>
          <cell r="B362">
            <v>15</v>
          </cell>
          <cell r="C362" t="str">
            <v>Trade Receivables</v>
          </cell>
          <cell r="D362" t="str">
            <v>Other Debts</v>
          </cell>
          <cell r="E362">
            <v>288108</v>
          </cell>
          <cell r="F362">
            <v>0</v>
          </cell>
          <cell r="G362">
            <v>288108</v>
          </cell>
          <cell r="H362">
            <v>0</v>
          </cell>
          <cell r="I362">
            <v>0</v>
          </cell>
          <cell r="J362">
            <v>0</v>
          </cell>
          <cell r="K362">
            <v>250640</v>
          </cell>
          <cell r="L362">
            <v>0</v>
          </cell>
          <cell r="M362">
            <v>250640</v>
          </cell>
          <cell r="N362">
            <v>0</v>
          </cell>
          <cell r="O362">
            <v>0</v>
          </cell>
          <cell r="P362">
            <v>0</v>
          </cell>
        </row>
        <row r="363">
          <cell r="A363" t="str">
            <v>Machinery Exp for Boiler Material BED</v>
          </cell>
          <cell r="B363">
            <v>26</v>
          </cell>
          <cell r="C363" t="str">
            <v>Other Expenses</v>
          </cell>
          <cell r="D363" t="str">
            <v>Manufacturing Expenses-Repairs &amp; Maintainence Machinery</v>
          </cell>
          <cell r="E363">
            <v>149343</v>
          </cell>
          <cell r="F363">
            <v>0</v>
          </cell>
          <cell r="G363">
            <v>149343</v>
          </cell>
          <cell r="H363">
            <v>0</v>
          </cell>
          <cell r="I363">
            <v>0</v>
          </cell>
          <cell r="J363">
            <v>0</v>
          </cell>
          <cell r="K363">
            <v>149546</v>
          </cell>
          <cell r="L363">
            <v>0</v>
          </cell>
          <cell r="M363">
            <v>149546</v>
          </cell>
          <cell r="N363">
            <v>0</v>
          </cell>
          <cell r="O363">
            <v>0</v>
          </cell>
          <cell r="P363">
            <v>0</v>
          </cell>
        </row>
        <row r="364">
          <cell r="A364" t="str">
            <v>Machinery Repair &amp; Maint Diesel Exp.</v>
          </cell>
          <cell r="B364">
            <v>26</v>
          </cell>
          <cell r="C364" t="str">
            <v>Other Expenses</v>
          </cell>
          <cell r="D364" t="str">
            <v>Manufacturing Expenses-Repairs &amp; Maintainence Machinery</v>
          </cell>
          <cell r="E364">
            <v>969798</v>
          </cell>
          <cell r="F364">
            <v>0</v>
          </cell>
          <cell r="G364">
            <v>969798</v>
          </cell>
          <cell r="H364">
            <v>0</v>
          </cell>
          <cell r="I364">
            <v>0</v>
          </cell>
          <cell r="J364">
            <v>0</v>
          </cell>
          <cell r="K364">
            <v>994957</v>
          </cell>
          <cell r="L364">
            <v>0</v>
          </cell>
          <cell r="M364">
            <v>994957</v>
          </cell>
          <cell r="N364">
            <v>0</v>
          </cell>
          <cell r="O364">
            <v>0</v>
          </cell>
          <cell r="P364">
            <v>0</v>
          </cell>
        </row>
        <row r="365">
          <cell r="A365" t="str">
            <v>Machinery Repair &amp; Maint To Electrical</v>
          </cell>
          <cell r="B365">
            <v>26</v>
          </cell>
          <cell r="C365" t="str">
            <v>Other Expenses</v>
          </cell>
          <cell r="D365" t="str">
            <v>Manufacturing Expenses-Repairs &amp; Maintainence Machinery</v>
          </cell>
          <cell r="E365">
            <v>1446914</v>
          </cell>
          <cell r="F365">
            <v>0</v>
          </cell>
          <cell r="G365">
            <v>1446914</v>
          </cell>
          <cell r="H365">
            <v>0</v>
          </cell>
          <cell r="I365">
            <v>0</v>
          </cell>
          <cell r="J365">
            <v>0</v>
          </cell>
          <cell r="K365">
            <v>938573.13</v>
          </cell>
          <cell r="L365">
            <v>0</v>
          </cell>
          <cell r="M365">
            <v>938573.13</v>
          </cell>
          <cell r="N365">
            <v>0</v>
          </cell>
          <cell r="O365">
            <v>0</v>
          </cell>
          <cell r="P365">
            <v>0</v>
          </cell>
        </row>
        <row r="366">
          <cell r="A366" t="str">
            <v>Machinery Repair &amp; Maintenance</v>
          </cell>
          <cell r="B366">
            <v>26</v>
          </cell>
          <cell r="C366" t="str">
            <v>Other Expenses</v>
          </cell>
          <cell r="D366" t="str">
            <v>Manufacturing Expenses-Repairs &amp; Maintainence Machinery</v>
          </cell>
          <cell r="E366">
            <v>10783983.359999999</v>
          </cell>
          <cell r="F366">
            <v>0</v>
          </cell>
          <cell r="G366">
            <v>10783983.359999999</v>
          </cell>
          <cell r="H366">
            <v>0</v>
          </cell>
          <cell r="I366">
            <v>0</v>
          </cell>
          <cell r="J366">
            <v>0</v>
          </cell>
          <cell r="K366">
            <v>17174810.899999999</v>
          </cell>
          <cell r="L366">
            <v>0</v>
          </cell>
          <cell r="M366">
            <v>17174810.899999999</v>
          </cell>
          <cell r="N366">
            <v>0</v>
          </cell>
          <cell r="O366">
            <v>0</v>
          </cell>
          <cell r="P366">
            <v>0</v>
          </cell>
        </row>
        <row r="367">
          <cell r="A367" t="str">
            <v>Mahabir Packaging</v>
          </cell>
          <cell r="B367">
            <v>15</v>
          </cell>
          <cell r="C367" t="str">
            <v>Trade Receivables</v>
          </cell>
          <cell r="D367" t="str">
            <v>Other Debts</v>
          </cell>
          <cell r="E367">
            <v>0</v>
          </cell>
          <cell r="F367">
            <v>0</v>
          </cell>
          <cell r="G367">
            <v>0</v>
          </cell>
          <cell r="H367">
            <v>0</v>
          </cell>
          <cell r="I367">
            <v>0</v>
          </cell>
          <cell r="J367">
            <v>0</v>
          </cell>
          <cell r="K367">
            <v>0</v>
          </cell>
          <cell r="L367">
            <v>0</v>
          </cell>
          <cell r="M367">
            <v>0</v>
          </cell>
          <cell r="N367">
            <v>0</v>
          </cell>
          <cell r="O367">
            <v>0</v>
          </cell>
          <cell r="P367">
            <v>0</v>
          </cell>
        </row>
        <row r="368">
          <cell r="A368" t="str">
            <v>Mahalaxmi Fire Services, Nagpur</v>
          </cell>
          <cell r="B368">
            <v>7</v>
          </cell>
          <cell r="C368" t="str">
            <v>Trade Payables</v>
          </cell>
          <cell r="D368" t="str">
            <v>Trade Payables</v>
          </cell>
          <cell r="E368">
            <v>0</v>
          </cell>
          <cell r="F368">
            <v>0</v>
          </cell>
          <cell r="G368">
            <v>0</v>
          </cell>
          <cell r="H368">
            <v>55663</v>
          </cell>
          <cell r="I368">
            <v>0</v>
          </cell>
          <cell r="J368">
            <v>55663</v>
          </cell>
          <cell r="K368">
            <v>0</v>
          </cell>
          <cell r="L368">
            <v>0</v>
          </cell>
          <cell r="M368">
            <v>0</v>
          </cell>
          <cell r="N368">
            <v>54944</v>
          </cell>
          <cell r="O368">
            <v>0</v>
          </cell>
          <cell r="P368">
            <v>54944</v>
          </cell>
        </row>
        <row r="369">
          <cell r="A369" t="str">
            <v>Maharashtra State Mining Corp. Ltd.</v>
          </cell>
          <cell r="B369">
            <v>17</v>
          </cell>
          <cell r="C369" t="str">
            <v>Short Term Loans &amp; Advances</v>
          </cell>
          <cell r="D369" t="str">
            <v>Advance to Suppliers</v>
          </cell>
          <cell r="E369">
            <v>4609940</v>
          </cell>
          <cell r="F369">
            <v>0</v>
          </cell>
          <cell r="G369">
            <v>4609940</v>
          </cell>
          <cell r="H369">
            <v>0</v>
          </cell>
          <cell r="I369">
            <v>0</v>
          </cell>
          <cell r="J369">
            <v>0</v>
          </cell>
          <cell r="K369">
            <v>5000454</v>
          </cell>
          <cell r="L369">
            <v>0</v>
          </cell>
          <cell r="M369">
            <v>5000454</v>
          </cell>
          <cell r="N369">
            <v>0</v>
          </cell>
          <cell r="O369">
            <v>0</v>
          </cell>
          <cell r="P369">
            <v>0</v>
          </cell>
        </row>
        <row r="370">
          <cell r="A370" t="str">
            <v>Mahendra Printing Press</v>
          </cell>
          <cell r="B370">
            <v>7</v>
          </cell>
          <cell r="C370" t="str">
            <v>Trade Payables</v>
          </cell>
          <cell r="D370" t="str">
            <v>Trade Payables</v>
          </cell>
          <cell r="E370">
            <v>0</v>
          </cell>
          <cell r="F370">
            <v>0</v>
          </cell>
          <cell r="G370">
            <v>0</v>
          </cell>
          <cell r="H370">
            <v>0</v>
          </cell>
          <cell r="I370">
            <v>0</v>
          </cell>
          <cell r="J370">
            <v>0</v>
          </cell>
          <cell r="K370">
            <v>0</v>
          </cell>
          <cell r="L370">
            <v>0</v>
          </cell>
          <cell r="M370">
            <v>0</v>
          </cell>
          <cell r="N370">
            <v>0</v>
          </cell>
          <cell r="O370">
            <v>0</v>
          </cell>
          <cell r="P370">
            <v>0</v>
          </cell>
        </row>
        <row r="371">
          <cell r="A371" t="str">
            <v>Mahesh Mirashe</v>
          </cell>
          <cell r="B371">
            <v>12</v>
          </cell>
          <cell r="C371" t="str">
            <v>Long Term Loans &amp; Advances</v>
          </cell>
          <cell r="D371" t="str">
            <v>Loans and Advances to Employees</v>
          </cell>
          <cell r="E371">
            <v>0</v>
          </cell>
          <cell r="F371">
            <v>0</v>
          </cell>
          <cell r="G371">
            <v>0</v>
          </cell>
          <cell r="H371">
            <v>0</v>
          </cell>
          <cell r="I371">
            <v>0</v>
          </cell>
          <cell r="J371">
            <v>0</v>
          </cell>
          <cell r="K371">
            <v>7000</v>
          </cell>
          <cell r="L371">
            <v>0</v>
          </cell>
          <cell r="M371">
            <v>7000</v>
          </cell>
          <cell r="N371">
            <v>0</v>
          </cell>
          <cell r="O371">
            <v>0</v>
          </cell>
          <cell r="P371">
            <v>0</v>
          </cell>
        </row>
        <row r="372">
          <cell r="A372" t="str">
            <v>Main Plant Building</v>
          </cell>
          <cell r="B372">
            <v>10</v>
          </cell>
          <cell r="C372" t="str">
            <v>Fixed Assets</v>
          </cell>
          <cell r="D372" t="str">
            <v>Tangible Asset</v>
          </cell>
          <cell r="E372">
            <v>0</v>
          </cell>
          <cell r="F372">
            <v>0</v>
          </cell>
          <cell r="G372">
            <v>0</v>
          </cell>
          <cell r="H372">
            <v>0</v>
          </cell>
          <cell r="I372">
            <v>0</v>
          </cell>
          <cell r="J372">
            <v>0</v>
          </cell>
          <cell r="K372">
            <v>0</v>
          </cell>
          <cell r="L372">
            <v>0</v>
          </cell>
          <cell r="M372">
            <v>0</v>
          </cell>
          <cell r="N372">
            <v>0</v>
          </cell>
          <cell r="O372">
            <v>0</v>
          </cell>
          <cell r="P372">
            <v>0</v>
          </cell>
        </row>
        <row r="373">
          <cell r="A373" t="str">
            <v>Manish Computer</v>
          </cell>
          <cell r="B373">
            <v>7</v>
          </cell>
          <cell r="C373" t="str">
            <v>Trade Payables</v>
          </cell>
          <cell r="D373" t="str">
            <v>Trade Payables - Others</v>
          </cell>
          <cell r="E373">
            <v>0</v>
          </cell>
          <cell r="F373">
            <v>0</v>
          </cell>
          <cell r="G373">
            <v>0</v>
          </cell>
          <cell r="H373">
            <v>15790</v>
          </cell>
          <cell r="I373">
            <v>0</v>
          </cell>
          <cell r="J373">
            <v>15790</v>
          </cell>
          <cell r="K373">
            <v>0</v>
          </cell>
          <cell r="L373">
            <v>0</v>
          </cell>
          <cell r="M373">
            <v>0</v>
          </cell>
          <cell r="N373">
            <v>15950</v>
          </cell>
          <cell r="O373">
            <v>0</v>
          </cell>
          <cell r="P373">
            <v>15950</v>
          </cell>
        </row>
        <row r="374">
          <cell r="A374" t="str">
            <v>Manoj Gore</v>
          </cell>
          <cell r="B374">
            <v>12</v>
          </cell>
          <cell r="C374" t="str">
            <v>Long Term Loans &amp; Advances</v>
          </cell>
          <cell r="D374" t="str">
            <v>Loans and Advances to Employees</v>
          </cell>
          <cell r="E374">
            <v>26000</v>
          </cell>
          <cell r="F374">
            <v>0</v>
          </cell>
          <cell r="G374">
            <v>26000</v>
          </cell>
          <cell r="H374">
            <v>0</v>
          </cell>
          <cell r="I374">
            <v>0</v>
          </cell>
          <cell r="J374">
            <v>0</v>
          </cell>
          <cell r="K374">
            <v>18000</v>
          </cell>
          <cell r="L374">
            <v>0</v>
          </cell>
          <cell r="M374">
            <v>18000</v>
          </cell>
          <cell r="N374">
            <v>0</v>
          </cell>
          <cell r="O374">
            <v>0</v>
          </cell>
          <cell r="P374">
            <v>0</v>
          </cell>
        </row>
        <row r="375">
          <cell r="A375" t="str">
            <v>MAT Credit Entitlement (A.Y. 14-15)</v>
          </cell>
          <cell r="B375">
            <v>12</v>
          </cell>
          <cell r="C375" t="str">
            <v>Long Term Loans &amp; Advances</v>
          </cell>
          <cell r="D375" t="str">
            <v>MAT Credit Entitlement</v>
          </cell>
          <cell r="E375">
            <v>127987</v>
          </cell>
          <cell r="F375">
            <v>0</v>
          </cell>
          <cell r="G375">
            <v>127987</v>
          </cell>
          <cell r="H375">
            <v>0</v>
          </cell>
          <cell r="I375">
            <v>0</v>
          </cell>
          <cell r="J375">
            <v>0</v>
          </cell>
          <cell r="K375">
            <v>127987</v>
          </cell>
          <cell r="L375">
            <v>0</v>
          </cell>
          <cell r="M375">
            <v>127987</v>
          </cell>
          <cell r="N375">
            <v>0</v>
          </cell>
          <cell r="O375">
            <v>0</v>
          </cell>
          <cell r="P375">
            <v>0</v>
          </cell>
        </row>
        <row r="376">
          <cell r="A376" t="str">
            <v>Mat Credit Entitlement (A.Y. 2012-13)</v>
          </cell>
          <cell r="B376">
            <v>12</v>
          </cell>
          <cell r="C376" t="str">
            <v>Long Term Loans &amp; Advances</v>
          </cell>
          <cell r="D376" t="str">
            <v>MAT Credit Entitlement</v>
          </cell>
          <cell r="E376">
            <v>556434</v>
          </cell>
          <cell r="F376">
            <v>0</v>
          </cell>
          <cell r="G376">
            <v>556434</v>
          </cell>
          <cell r="H376">
            <v>0</v>
          </cell>
          <cell r="I376">
            <v>0</v>
          </cell>
          <cell r="J376">
            <v>0</v>
          </cell>
          <cell r="K376">
            <v>556434</v>
          </cell>
          <cell r="L376">
            <v>0</v>
          </cell>
          <cell r="M376">
            <v>556434</v>
          </cell>
          <cell r="N376">
            <v>0</v>
          </cell>
          <cell r="O376">
            <v>0</v>
          </cell>
          <cell r="P376">
            <v>0</v>
          </cell>
        </row>
        <row r="377">
          <cell r="A377" t="str">
            <v>MAT Credit Entitlement A.Y. 15-16</v>
          </cell>
          <cell r="B377">
            <v>12</v>
          </cell>
          <cell r="C377" t="str">
            <v>Long Term Loans &amp; Advances</v>
          </cell>
          <cell r="D377" t="str">
            <v>MAT Credit Entitlement</v>
          </cell>
          <cell r="E377">
            <v>1848942</v>
          </cell>
          <cell r="F377">
            <v>0</v>
          </cell>
          <cell r="G377">
            <v>1848942</v>
          </cell>
          <cell r="H377">
            <v>0</v>
          </cell>
          <cell r="I377">
            <v>0</v>
          </cell>
          <cell r="J377">
            <v>0</v>
          </cell>
          <cell r="K377">
            <v>1848942</v>
          </cell>
          <cell r="L377">
            <v>0</v>
          </cell>
          <cell r="M377">
            <v>1848942</v>
          </cell>
          <cell r="N377">
            <v>0</v>
          </cell>
          <cell r="O377">
            <v>0</v>
          </cell>
          <cell r="P377">
            <v>0</v>
          </cell>
        </row>
        <row r="378">
          <cell r="A378" t="str">
            <v>Mat Credit Entitlement A.Y.2018-19</v>
          </cell>
          <cell r="B378">
            <v>12</v>
          </cell>
          <cell r="C378" t="str">
            <v>Long Term Loans &amp; Advances</v>
          </cell>
          <cell r="D378" t="str">
            <v>MAT Credit Entitlement</v>
          </cell>
          <cell r="E378">
            <v>6404071</v>
          </cell>
          <cell r="F378">
            <v>0</v>
          </cell>
          <cell r="G378">
            <v>6404071</v>
          </cell>
          <cell r="H378">
            <v>0</v>
          </cell>
          <cell r="I378">
            <v>0</v>
          </cell>
          <cell r="J378">
            <v>0</v>
          </cell>
          <cell r="K378">
            <v>6404071</v>
          </cell>
          <cell r="L378">
            <v>0</v>
          </cell>
          <cell r="M378">
            <v>6404071</v>
          </cell>
          <cell r="N378">
            <v>0</v>
          </cell>
          <cell r="O378">
            <v>0</v>
          </cell>
          <cell r="P378">
            <v>0</v>
          </cell>
        </row>
        <row r="379">
          <cell r="A379" t="str">
            <v>MAT Utilised (A.Y.13-14)</v>
          </cell>
          <cell r="B379">
            <v>12</v>
          </cell>
          <cell r="C379" t="str">
            <v>Long Term Loans &amp; Advances</v>
          </cell>
          <cell r="D379" t="str">
            <v>Advance Income Tax</v>
          </cell>
          <cell r="E379">
            <v>479434</v>
          </cell>
          <cell r="F379">
            <v>0</v>
          </cell>
          <cell r="G379">
            <v>479434</v>
          </cell>
          <cell r="H379">
            <v>0</v>
          </cell>
          <cell r="I379">
            <v>0</v>
          </cell>
          <cell r="J379">
            <v>0</v>
          </cell>
          <cell r="K379">
            <v>479434</v>
          </cell>
          <cell r="L379">
            <v>0</v>
          </cell>
          <cell r="M379">
            <v>479434</v>
          </cell>
          <cell r="N379">
            <v>0</v>
          </cell>
          <cell r="O379">
            <v>0</v>
          </cell>
          <cell r="P379">
            <v>0</v>
          </cell>
        </row>
        <row r="380">
          <cell r="A380" t="str">
            <v>MCS Share Tranfer Agent Limited</v>
          </cell>
          <cell r="B380">
            <v>7</v>
          </cell>
          <cell r="C380" t="str">
            <v>Trade Payables</v>
          </cell>
          <cell r="D380" t="str">
            <v>Trade Payables</v>
          </cell>
          <cell r="E380">
            <v>0</v>
          </cell>
          <cell r="F380">
            <v>0</v>
          </cell>
          <cell r="G380">
            <v>0</v>
          </cell>
          <cell r="H380">
            <v>30472</v>
          </cell>
          <cell r="I380">
            <v>0</v>
          </cell>
          <cell r="J380">
            <v>30472</v>
          </cell>
          <cell r="K380">
            <v>0</v>
          </cell>
          <cell r="L380">
            <v>0</v>
          </cell>
          <cell r="M380">
            <v>0</v>
          </cell>
          <cell r="N380">
            <v>0</v>
          </cell>
          <cell r="O380">
            <v>0</v>
          </cell>
          <cell r="P380">
            <v>0</v>
          </cell>
        </row>
        <row r="381">
          <cell r="A381" t="str">
            <v>Medical Aids To Staff</v>
          </cell>
          <cell r="B381">
            <v>24</v>
          </cell>
          <cell r="C381" t="str">
            <v>Employee Benefit Expenses</v>
          </cell>
          <cell r="D381" t="str">
            <v>Staff Welfare Expenses</v>
          </cell>
          <cell r="E381">
            <v>239427</v>
          </cell>
          <cell r="F381">
            <v>0</v>
          </cell>
          <cell r="G381">
            <v>239427</v>
          </cell>
          <cell r="H381">
            <v>0</v>
          </cell>
          <cell r="I381">
            <v>0</v>
          </cell>
          <cell r="J381">
            <v>0</v>
          </cell>
          <cell r="K381">
            <v>422254</v>
          </cell>
          <cell r="L381">
            <v>0</v>
          </cell>
          <cell r="M381">
            <v>422254</v>
          </cell>
          <cell r="N381">
            <v>0</v>
          </cell>
          <cell r="O381">
            <v>0</v>
          </cell>
          <cell r="P381">
            <v>0</v>
          </cell>
        </row>
        <row r="382">
          <cell r="A382" t="str">
            <v>Mega Techno Services, Nagpur</v>
          </cell>
          <cell r="B382">
            <v>7</v>
          </cell>
          <cell r="C382" t="str">
            <v>Trade Payables</v>
          </cell>
          <cell r="D382" t="str">
            <v>Trade Payables</v>
          </cell>
          <cell r="E382">
            <v>0</v>
          </cell>
          <cell r="F382">
            <v>0</v>
          </cell>
          <cell r="G382">
            <v>0</v>
          </cell>
          <cell r="H382">
            <v>0</v>
          </cell>
          <cell r="I382">
            <v>0</v>
          </cell>
          <cell r="J382">
            <v>0</v>
          </cell>
          <cell r="K382">
            <v>0</v>
          </cell>
          <cell r="L382">
            <v>0</v>
          </cell>
          <cell r="M382">
            <v>0</v>
          </cell>
          <cell r="N382">
            <v>0</v>
          </cell>
          <cell r="O382">
            <v>0</v>
          </cell>
          <cell r="P382">
            <v>0</v>
          </cell>
        </row>
        <row r="383">
          <cell r="A383" t="str">
            <v>Membership &amp; Subscription</v>
          </cell>
          <cell r="B383">
            <v>26</v>
          </cell>
          <cell r="C383" t="str">
            <v>Other Expenses</v>
          </cell>
          <cell r="D383" t="str">
            <v>Establishment Expenses-General Expenses</v>
          </cell>
          <cell r="E383">
            <v>0</v>
          </cell>
          <cell r="F383">
            <v>0</v>
          </cell>
          <cell r="G383">
            <v>0</v>
          </cell>
          <cell r="H383">
            <v>0</v>
          </cell>
          <cell r="I383">
            <v>0</v>
          </cell>
          <cell r="J383">
            <v>0</v>
          </cell>
          <cell r="K383">
            <v>156749</v>
          </cell>
          <cell r="L383">
            <v>0</v>
          </cell>
          <cell r="M383">
            <v>156749</v>
          </cell>
          <cell r="N383">
            <v>0</v>
          </cell>
          <cell r="O383">
            <v>0</v>
          </cell>
          <cell r="P383">
            <v>0</v>
          </cell>
        </row>
        <row r="384">
          <cell r="A384" t="str">
            <v>Metropolitan Stock Exchange of India(MSEI)</v>
          </cell>
          <cell r="B384">
            <v>7</v>
          </cell>
          <cell r="C384" t="str">
            <v>Trade Payables</v>
          </cell>
          <cell r="D384" t="str">
            <v>Trade Payables - Others</v>
          </cell>
          <cell r="E384">
            <v>0</v>
          </cell>
          <cell r="F384">
            <v>0</v>
          </cell>
          <cell r="G384">
            <v>0</v>
          </cell>
          <cell r="H384">
            <v>0</v>
          </cell>
          <cell r="I384">
            <v>0</v>
          </cell>
          <cell r="J384">
            <v>0</v>
          </cell>
          <cell r="K384">
            <v>0</v>
          </cell>
          <cell r="L384">
            <v>0</v>
          </cell>
          <cell r="M384">
            <v>0</v>
          </cell>
          <cell r="N384">
            <v>21760</v>
          </cell>
          <cell r="O384">
            <v>0</v>
          </cell>
          <cell r="P384">
            <v>21760</v>
          </cell>
        </row>
        <row r="385">
          <cell r="A385" t="str">
            <v>Mohd. Anish Abdul Aziz</v>
          </cell>
          <cell r="B385">
            <v>12</v>
          </cell>
          <cell r="C385" t="str">
            <v>Long Term Loans &amp; Advances</v>
          </cell>
          <cell r="D385" t="str">
            <v>Loans and Advances to Employees</v>
          </cell>
          <cell r="E385">
            <v>15000</v>
          </cell>
          <cell r="F385">
            <v>0</v>
          </cell>
          <cell r="G385">
            <v>15000</v>
          </cell>
          <cell r="H385">
            <v>0</v>
          </cell>
          <cell r="I385">
            <v>0</v>
          </cell>
          <cell r="J385">
            <v>0</v>
          </cell>
          <cell r="K385">
            <v>0</v>
          </cell>
          <cell r="L385">
            <v>0</v>
          </cell>
          <cell r="M385">
            <v>0</v>
          </cell>
          <cell r="N385">
            <v>0</v>
          </cell>
          <cell r="O385">
            <v>0</v>
          </cell>
          <cell r="P385">
            <v>0</v>
          </cell>
        </row>
        <row r="386">
          <cell r="A386" t="str">
            <v>MOHIT PAPER PACKAGING INDUSTRY</v>
          </cell>
          <cell r="B386">
            <v>15</v>
          </cell>
          <cell r="C386" t="str">
            <v>Trade Receivables</v>
          </cell>
          <cell r="D386" t="str">
            <v>Other Debts</v>
          </cell>
          <cell r="E386">
            <v>0</v>
          </cell>
          <cell r="F386">
            <v>0</v>
          </cell>
          <cell r="G386">
            <v>0</v>
          </cell>
          <cell r="H386">
            <v>0</v>
          </cell>
          <cell r="I386">
            <v>0</v>
          </cell>
          <cell r="J386">
            <v>0</v>
          </cell>
          <cell r="K386">
            <v>706208</v>
          </cell>
          <cell r="L386">
            <v>0</v>
          </cell>
          <cell r="M386">
            <v>706208</v>
          </cell>
          <cell r="N386">
            <v>0</v>
          </cell>
          <cell r="O386">
            <v>0</v>
          </cell>
          <cell r="P386">
            <v>0</v>
          </cell>
        </row>
        <row r="387">
          <cell r="A387" t="str">
            <v>MSC Agency (India) Pvt. Ltd.</v>
          </cell>
          <cell r="B387">
            <v>17</v>
          </cell>
          <cell r="C387" t="str">
            <v>Short Term Loans &amp; Advances</v>
          </cell>
          <cell r="D387" t="str">
            <v>Advance to Suppliers</v>
          </cell>
          <cell r="E387">
            <v>73258.89</v>
          </cell>
          <cell r="F387">
            <v>0</v>
          </cell>
          <cell r="G387">
            <v>73258.89</v>
          </cell>
          <cell r="H387">
            <v>0</v>
          </cell>
          <cell r="I387">
            <v>0</v>
          </cell>
          <cell r="J387">
            <v>0</v>
          </cell>
          <cell r="K387">
            <v>67712.89</v>
          </cell>
          <cell r="L387">
            <v>0</v>
          </cell>
          <cell r="M387">
            <v>67712.89</v>
          </cell>
          <cell r="N387">
            <v>0</v>
          </cell>
          <cell r="O387">
            <v>0</v>
          </cell>
          <cell r="P387">
            <v>0</v>
          </cell>
        </row>
        <row r="388">
          <cell r="A388" t="str">
            <v>Msc Agency India Pvt. Ltd.</v>
          </cell>
          <cell r="B388">
            <v>17</v>
          </cell>
          <cell r="C388" t="str">
            <v>Short Term Loans &amp; Advances</v>
          </cell>
          <cell r="D388" t="str">
            <v>Advance to Suppliers</v>
          </cell>
          <cell r="E388">
            <v>0</v>
          </cell>
          <cell r="F388">
            <v>0</v>
          </cell>
          <cell r="G388">
            <v>0</v>
          </cell>
          <cell r="H388">
            <v>0</v>
          </cell>
          <cell r="I388">
            <v>0</v>
          </cell>
          <cell r="J388">
            <v>0</v>
          </cell>
          <cell r="K388">
            <v>0</v>
          </cell>
          <cell r="L388">
            <v>0</v>
          </cell>
          <cell r="M388">
            <v>0</v>
          </cell>
          <cell r="N388">
            <v>0</v>
          </cell>
          <cell r="O388">
            <v>0</v>
          </cell>
          <cell r="P388">
            <v>0</v>
          </cell>
        </row>
        <row r="389">
          <cell r="A389" t="str">
            <v>MSC Mediterranean Shipping Company S.A.</v>
          </cell>
          <cell r="B389">
            <v>7</v>
          </cell>
          <cell r="C389" t="str">
            <v>Trade Payables</v>
          </cell>
          <cell r="D389" t="str">
            <v>Trade Payables - Others</v>
          </cell>
          <cell r="E389">
            <v>0</v>
          </cell>
          <cell r="F389">
            <v>0</v>
          </cell>
          <cell r="G389">
            <v>0</v>
          </cell>
          <cell r="H389">
            <v>5129.3</v>
          </cell>
          <cell r="I389">
            <v>0</v>
          </cell>
          <cell r="J389">
            <v>5129.3</v>
          </cell>
          <cell r="K389">
            <v>0</v>
          </cell>
          <cell r="L389">
            <v>0</v>
          </cell>
          <cell r="M389">
            <v>0</v>
          </cell>
          <cell r="N389">
            <v>725582</v>
          </cell>
          <cell r="O389">
            <v>725582</v>
          </cell>
          <cell r="P389">
            <v>725582</v>
          </cell>
        </row>
        <row r="390">
          <cell r="A390" t="str">
            <v>NAGPUR CARBON PVT. LTD.</v>
          </cell>
          <cell r="B390">
            <v>15</v>
          </cell>
          <cell r="C390" t="str">
            <v>Trade Receivables</v>
          </cell>
          <cell r="D390" t="str">
            <v>Other Debts</v>
          </cell>
          <cell r="E390">
            <v>0</v>
          </cell>
          <cell r="F390">
            <v>0</v>
          </cell>
          <cell r="G390">
            <v>0</v>
          </cell>
          <cell r="H390">
            <v>0</v>
          </cell>
          <cell r="I390">
            <v>0</v>
          </cell>
          <cell r="J390">
            <v>0</v>
          </cell>
          <cell r="K390">
            <v>0</v>
          </cell>
          <cell r="L390">
            <v>0</v>
          </cell>
          <cell r="M390">
            <v>0</v>
          </cell>
          <cell r="N390">
            <v>0</v>
          </cell>
          <cell r="O390">
            <v>0</v>
          </cell>
          <cell r="P390">
            <v>0</v>
          </cell>
        </row>
        <row r="391">
          <cell r="A391" t="str">
            <v>Nagpur Telangana Roadways</v>
          </cell>
          <cell r="B391">
            <v>7</v>
          </cell>
          <cell r="C391" t="str">
            <v>Trade Payables</v>
          </cell>
          <cell r="D391" t="str">
            <v>Trade Payables - Others</v>
          </cell>
          <cell r="E391">
            <v>0</v>
          </cell>
          <cell r="F391">
            <v>0</v>
          </cell>
          <cell r="G391">
            <v>0</v>
          </cell>
          <cell r="H391">
            <v>0</v>
          </cell>
          <cell r="I391">
            <v>0</v>
          </cell>
          <cell r="J391">
            <v>0</v>
          </cell>
          <cell r="K391">
            <v>0</v>
          </cell>
          <cell r="L391">
            <v>0</v>
          </cell>
          <cell r="M391">
            <v>0</v>
          </cell>
          <cell r="N391">
            <v>36014</v>
          </cell>
          <cell r="O391">
            <v>0</v>
          </cell>
          <cell r="P391">
            <v>36014</v>
          </cell>
        </row>
        <row r="392">
          <cell r="A392" t="str">
            <v>Narayan Prasad Warthi</v>
          </cell>
          <cell r="B392">
            <v>12</v>
          </cell>
          <cell r="C392" t="str">
            <v>Long Term Loans &amp; Advances</v>
          </cell>
          <cell r="D392" t="str">
            <v>Loans and Advances to Employees</v>
          </cell>
          <cell r="E392">
            <v>4000</v>
          </cell>
          <cell r="F392">
            <v>0</v>
          </cell>
          <cell r="G392">
            <v>4000</v>
          </cell>
          <cell r="H392">
            <v>0</v>
          </cell>
          <cell r="I392">
            <v>0</v>
          </cell>
          <cell r="J392">
            <v>0</v>
          </cell>
          <cell r="K392">
            <v>0</v>
          </cell>
          <cell r="L392">
            <v>0</v>
          </cell>
          <cell r="M392">
            <v>0</v>
          </cell>
          <cell r="N392">
            <v>0</v>
          </cell>
          <cell r="O392">
            <v>0</v>
          </cell>
          <cell r="P392">
            <v>0</v>
          </cell>
        </row>
        <row r="393">
          <cell r="A393" t="str">
            <v>Naresh Charde</v>
          </cell>
          <cell r="B393">
            <v>12</v>
          </cell>
          <cell r="C393" t="str">
            <v>Long Term Loans &amp; Advances</v>
          </cell>
          <cell r="D393" t="str">
            <v>Loans and Advances to Employees</v>
          </cell>
          <cell r="E393">
            <v>0</v>
          </cell>
          <cell r="F393">
            <v>0</v>
          </cell>
          <cell r="G393">
            <v>0</v>
          </cell>
          <cell r="H393">
            <v>0</v>
          </cell>
          <cell r="I393">
            <v>0</v>
          </cell>
          <cell r="J393">
            <v>0</v>
          </cell>
          <cell r="K393">
            <v>0</v>
          </cell>
          <cell r="L393">
            <v>0</v>
          </cell>
          <cell r="M393">
            <v>0</v>
          </cell>
          <cell r="N393">
            <v>0</v>
          </cell>
          <cell r="O393">
            <v>0</v>
          </cell>
          <cell r="P393">
            <v>0</v>
          </cell>
        </row>
        <row r="394">
          <cell r="A394" t="str">
            <v>New Sarkar Roadways</v>
          </cell>
          <cell r="B394">
            <v>7</v>
          </cell>
          <cell r="C394" t="str">
            <v>Trade Payables</v>
          </cell>
          <cell r="D394" t="str">
            <v>Trade Payables</v>
          </cell>
          <cell r="E394">
            <v>0</v>
          </cell>
          <cell r="F394">
            <v>0</v>
          </cell>
          <cell r="G394">
            <v>0</v>
          </cell>
          <cell r="H394">
            <v>0</v>
          </cell>
          <cell r="I394">
            <v>0</v>
          </cell>
          <cell r="J394">
            <v>0</v>
          </cell>
          <cell r="K394">
            <v>0</v>
          </cell>
          <cell r="L394">
            <v>0</v>
          </cell>
          <cell r="M394">
            <v>0</v>
          </cell>
          <cell r="N394">
            <v>0</v>
          </cell>
          <cell r="O394">
            <v>0</v>
          </cell>
          <cell r="P394">
            <v>0</v>
          </cell>
        </row>
        <row r="395">
          <cell r="A395" t="str">
            <v>NEWPORT CH INTERNATIONAL LLC</v>
          </cell>
          <cell r="B395">
            <v>7</v>
          </cell>
          <cell r="C395" t="str">
            <v>Trade Payables</v>
          </cell>
          <cell r="D395" t="str">
            <v>Trade Payables</v>
          </cell>
          <cell r="E395">
            <v>0</v>
          </cell>
          <cell r="F395">
            <v>0</v>
          </cell>
          <cell r="G395">
            <v>0</v>
          </cell>
          <cell r="H395">
            <v>0</v>
          </cell>
          <cell r="I395">
            <v>0</v>
          </cell>
          <cell r="J395">
            <v>0</v>
          </cell>
          <cell r="K395">
            <v>0</v>
          </cell>
          <cell r="L395">
            <v>0</v>
          </cell>
          <cell r="M395">
            <v>0</v>
          </cell>
          <cell r="N395">
            <v>1737970</v>
          </cell>
          <cell r="O395">
            <v>0</v>
          </cell>
          <cell r="P395">
            <v>1737970</v>
          </cell>
        </row>
        <row r="396">
          <cell r="A396" t="str">
            <v>Nilkanth Nikhare</v>
          </cell>
          <cell r="B396">
            <v>12</v>
          </cell>
          <cell r="C396" t="str">
            <v>Long Term Loans &amp; Advances</v>
          </cell>
          <cell r="D396" t="str">
            <v>Loans and Advances to Employees</v>
          </cell>
          <cell r="E396">
            <v>34000</v>
          </cell>
          <cell r="F396">
            <v>0</v>
          </cell>
          <cell r="G396">
            <v>34000</v>
          </cell>
          <cell r="H396">
            <v>0</v>
          </cell>
          <cell r="I396">
            <v>0</v>
          </cell>
          <cell r="J396">
            <v>0</v>
          </cell>
          <cell r="K396">
            <v>40000</v>
          </cell>
          <cell r="L396">
            <v>0</v>
          </cell>
          <cell r="M396">
            <v>40000</v>
          </cell>
          <cell r="N396">
            <v>0</v>
          </cell>
          <cell r="O396">
            <v>0</v>
          </cell>
          <cell r="P396">
            <v>0</v>
          </cell>
        </row>
        <row r="397">
          <cell r="A397" t="str">
            <v>Niranjan Koche</v>
          </cell>
          <cell r="B397">
            <v>7</v>
          </cell>
          <cell r="C397" t="str">
            <v>Trade Payables</v>
          </cell>
          <cell r="D397" t="str">
            <v>Trade Payables - Others</v>
          </cell>
          <cell r="E397">
            <v>0</v>
          </cell>
          <cell r="F397">
            <v>0</v>
          </cell>
          <cell r="G397">
            <v>0</v>
          </cell>
          <cell r="H397">
            <v>22370</v>
          </cell>
          <cell r="I397">
            <v>0</v>
          </cell>
          <cell r="J397">
            <v>22370</v>
          </cell>
          <cell r="K397">
            <v>0</v>
          </cell>
          <cell r="L397">
            <v>0</v>
          </cell>
          <cell r="M397">
            <v>0</v>
          </cell>
          <cell r="N397">
            <v>63650</v>
          </cell>
          <cell r="O397">
            <v>63650</v>
          </cell>
          <cell r="P397">
            <v>63650</v>
          </cell>
        </row>
        <row r="398">
          <cell r="A398" t="str">
            <v>Non Receivable GST Prior Expenses</v>
          </cell>
          <cell r="B398">
            <v>26</v>
          </cell>
          <cell r="C398" t="str">
            <v>Other Expenses</v>
          </cell>
          <cell r="D398" t="str">
            <v>Establishment Expenses-Rates &amp; Taxes</v>
          </cell>
          <cell r="E398">
            <v>0</v>
          </cell>
          <cell r="F398">
            <v>0</v>
          </cell>
          <cell r="G398">
            <v>0</v>
          </cell>
          <cell r="H398">
            <v>0</v>
          </cell>
          <cell r="I398">
            <v>0</v>
          </cell>
          <cell r="J398">
            <v>0</v>
          </cell>
          <cell r="K398">
            <v>6132</v>
          </cell>
          <cell r="L398">
            <v>0</v>
          </cell>
          <cell r="M398">
            <v>6132</v>
          </cell>
          <cell r="N398">
            <v>0</v>
          </cell>
          <cell r="O398">
            <v>0</v>
          </cell>
          <cell r="P398">
            <v>0</v>
          </cell>
        </row>
        <row r="399">
          <cell r="A399" t="str">
            <v>Non Receivable Service Tax Expenses</v>
          </cell>
          <cell r="B399">
            <v>26</v>
          </cell>
          <cell r="C399" t="str">
            <v>Other Expenses</v>
          </cell>
          <cell r="D399" t="str">
            <v>Establishment Expenses-Rates &amp; Taxes</v>
          </cell>
          <cell r="E399">
            <v>0</v>
          </cell>
          <cell r="F399">
            <v>0</v>
          </cell>
          <cell r="G399">
            <v>0</v>
          </cell>
          <cell r="H399">
            <v>0</v>
          </cell>
          <cell r="I399">
            <v>0</v>
          </cell>
          <cell r="J399">
            <v>0</v>
          </cell>
          <cell r="K399">
            <v>0</v>
          </cell>
          <cell r="L399">
            <v>0</v>
          </cell>
          <cell r="M399">
            <v>0</v>
          </cell>
          <cell r="N399">
            <v>0</v>
          </cell>
          <cell r="O399">
            <v>0</v>
          </cell>
          <cell r="P399">
            <v>0</v>
          </cell>
        </row>
        <row r="400">
          <cell r="A400" t="str">
            <v>Non-Receivable Excise Expenses</v>
          </cell>
          <cell r="B400">
            <v>26</v>
          </cell>
          <cell r="C400" t="str">
            <v>Other Expenses</v>
          </cell>
          <cell r="D400" t="str">
            <v>Establishment Expenses-Rates &amp; Taxes</v>
          </cell>
          <cell r="E400">
            <v>0</v>
          </cell>
          <cell r="F400">
            <v>0</v>
          </cell>
          <cell r="G400">
            <v>0</v>
          </cell>
          <cell r="H400">
            <v>0</v>
          </cell>
          <cell r="I400">
            <v>0</v>
          </cell>
          <cell r="J400">
            <v>0</v>
          </cell>
          <cell r="K400">
            <v>1294449</v>
          </cell>
          <cell r="L400">
            <v>0</v>
          </cell>
          <cell r="M400">
            <v>1294449</v>
          </cell>
          <cell r="N400">
            <v>0</v>
          </cell>
          <cell r="O400">
            <v>0</v>
          </cell>
          <cell r="P400">
            <v>0</v>
          </cell>
        </row>
        <row r="401">
          <cell r="A401" t="str">
            <v>Office Cleaning Charges</v>
          </cell>
          <cell r="B401">
            <v>26</v>
          </cell>
          <cell r="C401" t="str">
            <v>Other Expenses</v>
          </cell>
          <cell r="D401" t="str">
            <v>Establishment Expenses-Office Expenses</v>
          </cell>
          <cell r="E401">
            <v>53120</v>
          </cell>
          <cell r="F401">
            <v>0</v>
          </cell>
          <cell r="G401">
            <v>53120</v>
          </cell>
          <cell r="H401">
            <v>0</v>
          </cell>
          <cell r="I401">
            <v>0</v>
          </cell>
          <cell r="J401">
            <v>0</v>
          </cell>
          <cell r="K401">
            <v>28800</v>
          </cell>
          <cell r="L401">
            <v>0</v>
          </cell>
          <cell r="M401">
            <v>28800</v>
          </cell>
          <cell r="N401">
            <v>0</v>
          </cell>
          <cell r="O401">
            <v>0</v>
          </cell>
          <cell r="P401">
            <v>0</v>
          </cell>
        </row>
        <row r="402">
          <cell r="A402" t="str">
            <v>Office Electricity Charges</v>
          </cell>
          <cell r="B402">
            <v>26</v>
          </cell>
          <cell r="C402" t="str">
            <v>Other Expenses</v>
          </cell>
          <cell r="D402" t="str">
            <v>Establishment Expenses-Office Expenses</v>
          </cell>
          <cell r="E402">
            <v>119350</v>
          </cell>
          <cell r="F402">
            <v>0</v>
          </cell>
          <cell r="G402">
            <v>119350</v>
          </cell>
          <cell r="H402">
            <v>0</v>
          </cell>
          <cell r="I402">
            <v>0</v>
          </cell>
          <cell r="J402">
            <v>0</v>
          </cell>
          <cell r="K402">
            <v>133780</v>
          </cell>
          <cell r="L402">
            <v>0</v>
          </cell>
          <cell r="M402">
            <v>133780</v>
          </cell>
          <cell r="N402">
            <v>0</v>
          </cell>
          <cell r="O402">
            <v>0</v>
          </cell>
          <cell r="P402">
            <v>0</v>
          </cell>
        </row>
        <row r="403">
          <cell r="A403" t="str">
            <v>Office Electricity Payable</v>
          </cell>
          <cell r="B403">
            <v>7</v>
          </cell>
          <cell r="C403" t="str">
            <v>Trade Payables</v>
          </cell>
          <cell r="D403" t="str">
            <v>Trade Payables - Others</v>
          </cell>
          <cell r="E403">
            <v>0</v>
          </cell>
          <cell r="F403">
            <v>0</v>
          </cell>
          <cell r="G403">
            <v>0</v>
          </cell>
          <cell r="H403">
            <v>4500</v>
          </cell>
          <cell r="I403">
            <v>0</v>
          </cell>
          <cell r="J403">
            <v>4500</v>
          </cell>
          <cell r="K403">
            <v>0</v>
          </cell>
          <cell r="L403">
            <v>0</v>
          </cell>
          <cell r="M403">
            <v>0</v>
          </cell>
          <cell r="N403">
            <v>10920</v>
          </cell>
          <cell r="O403">
            <v>0</v>
          </cell>
          <cell r="P403">
            <v>10920</v>
          </cell>
        </row>
        <row r="404">
          <cell r="A404" t="str">
            <v>Office Equipment</v>
          </cell>
          <cell r="B404">
            <v>10</v>
          </cell>
          <cell r="C404" t="str">
            <v>Fixed Assets</v>
          </cell>
          <cell r="D404" t="str">
            <v>Tangible Asset</v>
          </cell>
          <cell r="E404">
            <v>884075.16</v>
          </cell>
          <cell r="F404">
            <v>0</v>
          </cell>
          <cell r="G404">
            <v>884075.16</v>
          </cell>
          <cell r="H404">
            <v>0</v>
          </cell>
          <cell r="I404">
            <v>0</v>
          </cell>
          <cell r="J404">
            <v>0</v>
          </cell>
          <cell r="K404">
            <v>850872.03</v>
          </cell>
          <cell r="L404">
            <v>0</v>
          </cell>
          <cell r="M404">
            <v>850872.03</v>
          </cell>
          <cell r="N404">
            <v>0</v>
          </cell>
          <cell r="O404">
            <v>0</v>
          </cell>
          <cell r="P404">
            <v>0</v>
          </cell>
        </row>
        <row r="405">
          <cell r="A405" t="str">
            <v>Office G+1</v>
          </cell>
          <cell r="B405">
            <v>10</v>
          </cell>
          <cell r="C405" t="str">
            <v>Fixed Assets</v>
          </cell>
          <cell r="D405" t="str">
            <v>Tangible Asset</v>
          </cell>
          <cell r="E405">
            <v>0</v>
          </cell>
          <cell r="F405">
            <v>0</v>
          </cell>
          <cell r="G405">
            <v>0</v>
          </cell>
          <cell r="H405">
            <v>0</v>
          </cell>
          <cell r="I405">
            <v>0</v>
          </cell>
          <cell r="J405">
            <v>0</v>
          </cell>
          <cell r="K405">
            <v>0</v>
          </cell>
          <cell r="L405">
            <v>0</v>
          </cell>
          <cell r="M405">
            <v>0</v>
          </cell>
          <cell r="N405">
            <v>0</v>
          </cell>
          <cell r="O405">
            <v>0</v>
          </cell>
          <cell r="P405">
            <v>0</v>
          </cell>
        </row>
        <row r="406">
          <cell r="A406" t="str">
            <v>Office Misc. Expenses</v>
          </cell>
          <cell r="B406">
            <v>26</v>
          </cell>
          <cell r="C406" t="str">
            <v>Other Expenses</v>
          </cell>
          <cell r="D406" t="str">
            <v>Establishment Expenses-Office Expenses</v>
          </cell>
          <cell r="E406">
            <v>202053</v>
          </cell>
          <cell r="F406">
            <v>0</v>
          </cell>
          <cell r="G406">
            <v>202053</v>
          </cell>
          <cell r="H406">
            <v>0</v>
          </cell>
          <cell r="I406">
            <v>0</v>
          </cell>
          <cell r="J406">
            <v>0</v>
          </cell>
          <cell r="K406">
            <v>201085</v>
          </cell>
          <cell r="L406">
            <v>0</v>
          </cell>
          <cell r="M406">
            <v>201085</v>
          </cell>
          <cell r="N406">
            <v>0</v>
          </cell>
          <cell r="O406">
            <v>0</v>
          </cell>
          <cell r="P406">
            <v>0</v>
          </cell>
        </row>
        <row r="407">
          <cell r="A407" t="str">
            <v>Office Rent</v>
          </cell>
          <cell r="B407">
            <v>26</v>
          </cell>
          <cell r="C407" t="str">
            <v>Other Expenses</v>
          </cell>
          <cell r="D407" t="str">
            <v>Establishment Expenses-Rent</v>
          </cell>
          <cell r="E407">
            <v>312000</v>
          </cell>
          <cell r="F407">
            <v>0</v>
          </cell>
          <cell r="G407">
            <v>312000</v>
          </cell>
          <cell r="H407">
            <v>0</v>
          </cell>
          <cell r="I407">
            <v>0</v>
          </cell>
          <cell r="J407">
            <v>0</v>
          </cell>
          <cell r="K407">
            <v>311400</v>
          </cell>
          <cell r="L407">
            <v>0</v>
          </cell>
          <cell r="M407">
            <v>311400</v>
          </cell>
          <cell r="N407">
            <v>0</v>
          </cell>
          <cell r="O407">
            <v>0</v>
          </cell>
          <cell r="P407">
            <v>0</v>
          </cell>
        </row>
        <row r="408">
          <cell r="A408" t="str">
            <v>Office Tea &amp; Other Exp.</v>
          </cell>
          <cell r="B408">
            <v>26</v>
          </cell>
          <cell r="C408" t="str">
            <v>Other Expenses</v>
          </cell>
          <cell r="D408" t="str">
            <v>Establishment Expenses-Office Expenses</v>
          </cell>
          <cell r="E408">
            <v>104473</v>
          </cell>
          <cell r="F408">
            <v>0</v>
          </cell>
          <cell r="G408">
            <v>104473</v>
          </cell>
          <cell r="H408">
            <v>0</v>
          </cell>
          <cell r="I408">
            <v>0</v>
          </cell>
          <cell r="J408">
            <v>0</v>
          </cell>
          <cell r="K408">
            <v>72462</v>
          </cell>
          <cell r="L408">
            <v>0</v>
          </cell>
          <cell r="M408">
            <v>72462</v>
          </cell>
          <cell r="N408">
            <v>0</v>
          </cell>
          <cell r="O408">
            <v>0</v>
          </cell>
          <cell r="P408">
            <v>0</v>
          </cell>
        </row>
        <row r="409">
          <cell r="A409" t="str">
            <v>OM SAI ENGINEERING</v>
          </cell>
          <cell r="B409">
            <v>17</v>
          </cell>
          <cell r="C409" t="str">
            <v>Short Term Loans &amp; Advances</v>
          </cell>
          <cell r="D409" t="str">
            <v>Advance to Suppliers</v>
          </cell>
          <cell r="E409">
            <v>25000</v>
          </cell>
          <cell r="F409">
            <v>0</v>
          </cell>
          <cell r="G409">
            <v>25000</v>
          </cell>
          <cell r="H409">
            <v>0</v>
          </cell>
          <cell r="I409">
            <v>0</v>
          </cell>
          <cell r="J409">
            <v>0</v>
          </cell>
          <cell r="K409">
            <v>50000</v>
          </cell>
          <cell r="L409">
            <v>0</v>
          </cell>
          <cell r="M409">
            <v>50000</v>
          </cell>
          <cell r="N409">
            <v>0</v>
          </cell>
          <cell r="O409">
            <v>0</v>
          </cell>
          <cell r="P409">
            <v>0</v>
          </cell>
        </row>
        <row r="410">
          <cell r="A410" t="str">
            <v>Omprakash D. Rathi</v>
          </cell>
          <cell r="B410">
            <v>4</v>
          </cell>
          <cell r="C410" t="str">
            <v>Long Term Borrowings</v>
          </cell>
          <cell r="D410" t="str">
            <v>Unsecured-From Related Party</v>
          </cell>
          <cell r="E410">
            <v>0</v>
          </cell>
          <cell r="F410">
            <v>0</v>
          </cell>
          <cell r="G410">
            <v>0</v>
          </cell>
          <cell r="H410">
            <v>0</v>
          </cell>
          <cell r="I410">
            <v>0</v>
          </cell>
          <cell r="J410">
            <v>0</v>
          </cell>
          <cell r="K410">
            <v>0</v>
          </cell>
          <cell r="L410">
            <v>0</v>
          </cell>
          <cell r="M410">
            <v>0</v>
          </cell>
          <cell r="N410">
            <v>0</v>
          </cell>
          <cell r="O410">
            <v>0</v>
          </cell>
          <cell r="P410">
            <v>0</v>
          </cell>
        </row>
        <row r="411">
          <cell r="A411" t="str">
            <v>Oms Sale @2%</v>
          </cell>
          <cell r="B411">
            <v>19</v>
          </cell>
          <cell r="C411" t="str">
            <v>Revenue From Operations</v>
          </cell>
          <cell r="D411" t="str">
            <v>Sale of Goods - Manufacturing Sales</v>
          </cell>
          <cell r="E411">
            <v>0</v>
          </cell>
          <cell r="F411">
            <v>0</v>
          </cell>
          <cell r="G411">
            <v>0</v>
          </cell>
          <cell r="H411">
            <v>0</v>
          </cell>
          <cell r="I411">
            <v>0</v>
          </cell>
          <cell r="J411">
            <v>0</v>
          </cell>
          <cell r="K411">
            <v>0</v>
          </cell>
          <cell r="L411">
            <v>0</v>
          </cell>
          <cell r="M411">
            <v>0</v>
          </cell>
          <cell r="N411">
            <v>0</v>
          </cell>
          <cell r="O411">
            <v>0</v>
          </cell>
          <cell r="P411">
            <v>0</v>
          </cell>
        </row>
        <row r="412">
          <cell r="A412" t="str">
            <v>ORIGAMI CELLULO PVT.LTD.</v>
          </cell>
          <cell r="B412">
            <v>15</v>
          </cell>
          <cell r="C412" t="str">
            <v>Trade Receivables</v>
          </cell>
          <cell r="D412" t="str">
            <v>Other Debts</v>
          </cell>
          <cell r="E412">
            <v>361758</v>
          </cell>
          <cell r="F412">
            <v>0</v>
          </cell>
          <cell r="G412">
            <v>361758</v>
          </cell>
          <cell r="H412">
            <v>0</v>
          </cell>
          <cell r="I412">
            <v>0</v>
          </cell>
          <cell r="J412">
            <v>0</v>
          </cell>
          <cell r="K412">
            <v>172244</v>
          </cell>
          <cell r="L412">
            <v>0</v>
          </cell>
          <cell r="M412">
            <v>172244</v>
          </cell>
          <cell r="N412">
            <v>0</v>
          </cell>
          <cell r="O412">
            <v>0</v>
          </cell>
          <cell r="P412">
            <v>0</v>
          </cell>
        </row>
        <row r="413">
          <cell r="A413" t="str">
            <v>Other Charges : Chemical</v>
          </cell>
          <cell r="B413">
            <v>22</v>
          </cell>
          <cell r="C413" t="str">
            <v>Raw Material Consumed</v>
          </cell>
          <cell r="D413" t="str">
            <v>Raw Material Purchase</v>
          </cell>
          <cell r="E413">
            <v>33607</v>
          </cell>
          <cell r="F413">
            <v>0</v>
          </cell>
          <cell r="G413">
            <v>33607</v>
          </cell>
          <cell r="H413">
            <v>0</v>
          </cell>
          <cell r="I413">
            <v>0</v>
          </cell>
          <cell r="J413">
            <v>0</v>
          </cell>
          <cell r="K413">
            <v>20190</v>
          </cell>
          <cell r="L413">
            <v>0</v>
          </cell>
          <cell r="M413">
            <v>20190</v>
          </cell>
          <cell r="N413">
            <v>0</v>
          </cell>
          <cell r="O413">
            <v>0</v>
          </cell>
          <cell r="P413">
            <v>0</v>
          </cell>
        </row>
        <row r="414">
          <cell r="A414" t="str">
            <v>Other Charges : Coal</v>
          </cell>
          <cell r="B414">
            <v>26</v>
          </cell>
          <cell r="C414" t="str">
            <v>Other Expenses</v>
          </cell>
          <cell r="D414" t="str">
            <v>Manufacturing Expenses - Power &amp; Fuel Consumed</v>
          </cell>
          <cell r="E414">
            <v>852133</v>
          </cell>
          <cell r="F414">
            <v>0</v>
          </cell>
          <cell r="G414">
            <v>852133</v>
          </cell>
          <cell r="H414">
            <v>0</v>
          </cell>
          <cell r="I414">
            <v>0</v>
          </cell>
          <cell r="J414">
            <v>0</v>
          </cell>
          <cell r="K414">
            <v>4231828</v>
          </cell>
          <cell r="L414">
            <v>0</v>
          </cell>
          <cell r="M414">
            <v>4231828</v>
          </cell>
          <cell r="N414">
            <v>0</v>
          </cell>
          <cell r="O414">
            <v>0</v>
          </cell>
          <cell r="P414">
            <v>0</v>
          </cell>
        </row>
        <row r="415">
          <cell r="A415" t="str">
            <v>Other Charges : M/c Repair &amp; Maint</v>
          </cell>
          <cell r="B415">
            <v>26</v>
          </cell>
          <cell r="C415" t="str">
            <v>Other Expenses</v>
          </cell>
          <cell r="D415" t="str">
            <v>Manufacturing Expenses-Repairs &amp; Maintainence Machinery</v>
          </cell>
          <cell r="E415">
            <v>0</v>
          </cell>
          <cell r="F415">
            <v>0</v>
          </cell>
          <cell r="G415">
            <v>0</v>
          </cell>
          <cell r="H415">
            <v>0</v>
          </cell>
          <cell r="I415">
            <v>0</v>
          </cell>
          <cell r="J415">
            <v>0</v>
          </cell>
          <cell r="K415">
            <v>0</v>
          </cell>
          <cell r="L415">
            <v>0</v>
          </cell>
          <cell r="M415">
            <v>0</v>
          </cell>
          <cell r="N415">
            <v>0</v>
          </cell>
          <cell r="O415">
            <v>0</v>
          </cell>
          <cell r="P415">
            <v>0</v>
          </cell>
        </row>
        <row r="416">
          <cell r="A416" t="str">
            <v>Other Charges : M/c Repair &amp; Maint.</v>
          </cell>
          <cell r="B416">
            <v>26</v>
          </cell>
          <cell r="C416" t="str">
            <v>Other Expenses</v>
          </cell>
          <cell r="D416" t="str">
            <v>Manufacturing Expenses-Repairs &amp; Maintainence Machinery</v>
          </cell>
          <cell r="E416">
            <v>0</v>
          </cell>
          <cell r="F416">
            <v>0</v>
          </cell>
          <cell r="G416">
            <v>0</v>
          </cell>
          <cell r="H416">
            <v>0</v>
          </cell>
          <cell r="I416">
            <v>0</v>
          </cell>
          <cell r="J416">
            <v>0</v>
          </cell>
          <cell r="K416">
            <v>11016.55</v>
          </cell>
          <cell r="L416">
            <v>0</v>
          </cell>
          <cell r="M416">
            <v>11016.55</v>
          </cell>
          <cell r="N416">
            <v>0</v>
          </cell>
          <cell r="O416">
            <v>0</v>
          </cell>
          <cell r="P416">
            <v>0</v>
          </cell>
        </row>
        <row r="417">
          <cell r="A417" t="str">
            <v>Other Charges : Packing Material</v>
          </cell>
          <cell r="B417">
            <v>26</v>
          </cell>
          <cell r="C417" t="str">
            <v>Other Expenses</v>
          </cell>
          <cell r="D417" t="str">
            <v>Manufacturing Expenses - Packing Material Consumed</v>
          </cell>
          <cell r="E417">
            <v>2650</v>
          </cell>
          <cell r="F417">
            <v>0</v>
          </cell>
          <cell r="G417">
            <v>2650</v>
          </cell>
          <cell r="H417">
            <v>0</v>
          </cell>
          <cell r="I417">
            <v>0</v>
          </cell>
          <cell r="J417">
            <v>0</v>
          </cell>
          <cell r="K417">
            <v>1550</v>
          </cell>
          <cell r="L417">
            <v>0</v>
          </cell>
          <cell r="M417">
            <v>1550</v>
          </cell>
          <cell r="N417">
            <v>0</v>
          </cell>
          <cell r="O417">
            <v>0</v>
          </cell>
          <cell r="P417">
            <v>0</v>
          </cell>
        </row>
        <row r="418">
          <cell r="A418" t="str">
            <v>Other Charges :- Repair &amp; Maint Building</v>
          </cell>
          <cell r="B418">
            <v>26</v>
          </cell>
          <cell r="C418" t="str">
            <v>Other Expenses</v>
          </cell>
          <cell r="D418" t="str">
            <v>Establishment Expenses-Rep. &amp; Maint. Others</v>
          </cell>
          <cell r="E418">
            <v>0</v>
          </cell>
          <cell r="F418">
            <v>0</v>
          </cell>
          <cell r="G418">
            <v>0</v>
          </cell>
          <cell r="H418">
            <v>0</v>
          </cell>
          <cell r="I418">
            <v>0</v>
          </cell>
          <cell r="J418">
            <v>0</v>
          </cell>
          <cell r="K418">
            <v>150</v>
          </cell>
          <cell r="L418">
            <v>0</v>
          </cell>
          <cell r="M418">
            <v>150</v>
          </cell>
          <cell r="N418">
            <v>0</v>
          </cell>
          <cell r="O418">
            <v>0</v>
          </cell>
          <cell r="P418">
            <v>0</v>
          </cell>
        </row>
        <row r="419">
          <cell r="A419" t="str">
            <v>Other Charges : Vehicle Repair &amp; Maint.</v>
          </cell>
          <cell r="B419">
            <v>26</v>
          </cell>
          <cell r="C419" t="str">
            <v>Other Expenses</v>
          </cell>
          <cell r="D419" t="str">
            <v>Establishment Expenses-Rep. &amp; Maint. Others</v>
          </cell>
          <cell r="E419">
            <v>0</v>
          </cell>
          <cell r="F419">
            <v>0</v>
          </cell>
          <cell r="G419">
            <v>0</v>
          </cell>
          <cell r="H419">
            <v>0</v>
          </cell>
          <cell r="I419">
            <v>0</v>
          </cell>
          <cell r="J419">
            <v>0</v>
          </cell>
          <cell r="K419">
            <v>1042</v>
          </cell>
          <cell r="L419">
            <v>0</v>
          </cell>
          <cell r="M419">
            <v>1042</v>
          </cell>
          <cell r="N419">
            <v>0</v>
          </cell>
          <cell r="O419">
            <v>0</v>
          </cell>
          <cell r="P419">
            <v>0</v>
          </cell>
        </row>
        <row r="420">
          <cell r="A420" t="str">
            <v>Other Charges :Other Cst Purchase</v>
          </cell>
          <cell r="B420">
            <v>26</v>
          </cell>
          <cell r="C420" t="str">
            <v>Other Expenses</v>
          </cell>
          <cell r="D420" t="str">
            <v>Establishment Expenses-Rates &amp; Taxes</v>
          </cell>
          <cell r="E420">
            <v>0</v>
          </cell>
          <cell r="F420">
            <v>0</v>
          </cell>
          <cell r="G420">
            <v>0</v>
          </cell>
          <cell r="H420">
            <v>0</v>
          </cell>
          <cell r="I420">
            <v>0</v>
          </cell>
          <cell r="J420">
            <v>0</v>
          </cell>
          <cell r="K420">
            <v>0</v>
          </cell>
          <cell r="L420">
            <v>0</v>
          </cell>
          <cell r="M420">
            <v>0</v>
          </cell>
          <cell r="N420">
            <v>0</v>
          </cell>
          <cell r="O420">
            <v>0</v>
          </cell>
          <cell r="P420">
            <v>0</v>
          </cell>
        </row>
        <row r="421">
          <cell r="A421" t="str">
            <v>Other Import OCC Expenses</v>
          </cell>
          <cell r="B421">
            <v>22</v>
          </cell>
          <cell r="C421" t="str">
            <v>Raw Material Consumed</v>
          </cell>
          <cell r="D421" t="str">
            <v>Raw Material Purchase</v>
          </cell>
          <cell r="E421">
            <v>447749</v>
          </cell>
          <cell r="F421">
            <v>0</v>
          </cell>
          <cell r="G421">
            <v>447749</v>
          </cell>
          <cell r="H421">
            <v>0</v>
          </cell>
          <cell r="I421">
            <v>0</v>
          </cell>
          <cell r="J421">
            <v>0</v>
          </cell>
          <cell r="K421">
            <v>118292</v>
          </cell>
          <cell r="L421">
            <v>0</v>
          </cell>
          <cell r="M421">
            <v>118292</v>
          </cell>
          <cell r="N421">
            <v>0</v>
          </cell>
          <cell r="O421">
            <v>0</v>
          </cell>
          <cell r="P421">
            <v>0</v>
          </cell>
        </row>
        <row r="422">
          <cell r="A422" t="str">
            <v>Other Professional Fees : (Shah Baheti)</v>
          </cell>
          <cell r="B422">
            <v>26</v>
          </cell>
          <cell r="C422" t="str">
            <v>Other Expenses</v>
          </cell>
          <cell r="D422" t="str">
            <v>Establishment Expenses-Legal &amp; Professional Charges</v>
          </cell>
          <cell r="E422">
            <v>0</v>
          </cell>
          <cell r="F422">
            <v>0</v>
          </cell>
          <cell r="G422">
            <v>0</v>
          </cell>
          <cell r="H422">
            <v>0</v>
          </cell>
          <cell r="I422">
            <v>0</v>
          </cell>
          <cell r="J422">
            <v>0</v>
          </cell>
          <cell r="K422">
            <v>60000</v>
          </cell>
          <cell r="L422">
            <v>0</v>
          </cell>
          <cell r="M422">
            <v>60000</v>
          </cell>
          <cell r="N422">
            <v>0</v>
          </cell>
          <cell r="O422">
            <v>0</v>
          </cell>
          <cell r="P422">
            <v>0</v>
          </cell>
        </row>
        <row r="423">
          <cell r="A423" t="str">
            <v>Other Professional Fees : (Walter)</v>
          </cell>
          <cell r="B423">
            <v>26</v>
          </cell>
          <cell r="C423" t="str">
            <v>Other Expenses</v>
          </cell>
          <cell r="D423" t="str">
            <v>Establishment Expenses-Legal &amp; Professional Charges</v>
          </cell>
          <cell r="E423">
            <v>210000</v>
          </cell>
          <cell r="F423">
            <v>0</v>
          </cell>
          <cell r="G423">
            <v>210000</v>
          </cell>
          <cell r="H423">
            <v>0</v>
          </cell>
          <cell r="I423">
            <v>0</v>
          </cell>
          <cell r="J423">
            <v>0</v>
          </cell>
          <cell r="K423">
            <v>210000</v>
          </cell>
          <cell r="L423">
            <v>0</v>
          </cell>
          <cell r="M423">
            <v>210000</v>
          </cell>
          <cell r="N423">
            <v>0</v>
          </cell>
          <cell r="O423">
            <v>0</v>
          </cell>
          <cell r="P423">
            <v>0</v>
          </cell>
        </row>
        <row r="424">
          <cell r="A424" t="str">
            <v>Non -Eligible GST (Disallowed)</v>
          </cell>
          <cell r="B424">
            <v>26</v>
          </cell>
          <cell r="C424" t="str">
            <v>Other Expenses</v>
          </cell>
          <cell r="D424" t="str">
            <v>Establishment Expenses-Rates &amp; Taxes</v>
          </cell>
          <cell r="E424">
            <v>112924</v>
          </cell>
          <cell r="F424">
            <v>0</v>
          </cell>
          <cell r="G424">
            <v>112924</v>
          </cell>
          <cell r="H424">
            <v>0</v>
          </cell>
          <cell r="I424">
            <v>0</v>
          </cell>
          <cell r="J424">
            <v>0</v>
          </cell>
          <cell r="K424">
            <v>52250</v>
          </cell>
          <cell r="L424">
            <v>0</v>
          </cell>
          <cell r="M424">
            <v>52250</v>
          </cell>
          <cell r="N424">
            <v>0</v>
          </cell>
          <cell r="O424">
            <v>0</v>
          </cell>
          <cell r="P424">
            <v>0</v>
          </cell>
        </row>
        <row r="425">
          <cell r="A425" t="str">
            <v>Other Works</v>
          </cell>
          <cell r="B425">
            <v>10</v>
          </cell>
          <cell r="C425" t="str">
            <v>Fixed Assets</v>
          </cell>
          <cell r="D425" t="str">
            <v>Tangible Asset</v>
          </cell>
          <cell r="E425">
            <v>0</v>
          </cell>
          <cell r="F425">
            <v>0</v>
          </cell>
          <cell r="G425">
            <v>0</v>
          </cell>
          <cell r="H425">
            <v>0</v>
          </cell>
          <cell r="I425">
            <v>0</v>
          </cell>
          <cell r="J425">
            <v>0</v>
          </cell>
          <cell r="K425">
            <v>0</v>
          </cell>
          <cell r="L425">
            <v>0</v>
          </cell>
          <cell r="M425">
            <v>0</v>
          </cell>
          <cell r="N425">
            <v>0</v>
          </cell>
          <cell r="O425">
            <v>0</v>
          </cell>
          <cell r="P425">
            <v>0</v>
          </cell>
        </row>
        <row r="426">
          <cell r="A426" t="str">
            <v>OUTPUT GST @18% ON BANK CHARGES</v>
          </cell>
          <cell r="B426">
            <v>8</v>
          </cell>
          <cell r="C426" t="str">
            <v>Other Current Liabilities</v>
          </cell>
          <cell r="D426" t="str">
            <v>Statutory Dues</v>
          </cell>
          <cell r="E426">
            <v>0</v>
          </cell>
          <cell r="F426">
            <v>0</v>
          </cell>
          <cell r="G426">
            <v>0</v>
          </cell>
          <cell r="H426">
            <v>0</v>
          </cell>
          <cell r="I426">
            <v>0</v>
          </cell>
          <cell r="J426">
            <v>0</v>
          </cell>
          <cell r="K426">
            <v>0</v>
          </cell>
          <cell r="L426">
            <v>0</v>
          </cell>
          <cell r="M426">
            <v>0</v>
          </cell>
          <cell r="N426">
            <v>0</v>
          </cell>
          <cell r="O426">
            <v>0</v>
          </cell>
          <cell r="P426">
            <v>0</v>
          </cell>
        </row>
        <row r="427">
          <cell r="A427" t="str">
            <v>CGST @ 9% ON OTHER PURCHASE</v>
          </cell>
          <cell r="B427">
            <v>8</v>
          </cell>
          <cell r="C427" t="str">
            <v>Other Current Liabilities</v>
          </cell>
          <cell r="D427" t="str">
            <v>Statutory Dues</v>
          </cell>
          <cell r="E427">
            <v>188</v>
          </cell>
          <cell r="F427">
            <v>0</v>
          </cell>
          <cell r="G427">
            <v>188</v>
          </cell>
          <cell r="H427">
            <v>0</v>
          </cell>
          <cell r="I427">
            <v>0</v>
          </cell>
          <cell r="J427">
            <v>0</v>
          </cell>
          <cell r="K427">
            <v>0</v>
          </cell>
          <cell r="L427">
            <v>0</v>
          </cell>
          <cell r="M427">
            <v>0</v>
          </cell>
          <cell r="N427">
            <v>0</v>
          </cell>
          <cell r="O427">
            <v>0</v>
          </cell>
          <cell r="P427">
            <v>0</v>
          </cell>
        </row>
        <row r="428">
          <cell r="A428" t="str">
            <v>CGST Payable ( F.Y. 2019-20 )</v>
          </cell>
          <cell r="B428">
            <v>8</v>
          </cell>
          <cell r="C428" t="str">
            <v>Other Current Liabilities</v>
          </cell>
          <cell r="D428" t="str">
            <v>Statutory Dues</v>
          </cell>
          <cell r="E428">
            <v>1015002.64</v>
          </cell>
          <cell r="F428">
            <v>0</v>
          </cell>
          <cell r="G428">
            <v>1015002.64</v>
          </cell>
          <cell r="H428">
            <v>0</v>
          </cell>
          <cell r="I428">
            <v>0</v>
          </cell>
          <cell r="J428">
            <v>0</v>
          </cell>
          <cell r="K428">
            <v>0</v>
          </cell>
          <cell r="L428">
            <v>0</v>
          </cell>
          <cell r="M428">
            <v>0</v>
          </cell>
          <cell r="N428">
            <v>0</v>
          </cell>
          <cell r="O428">
            <v>0</v>
          </cell>
          <cell r="P428">
            <v>0</v>
          </cell>
        </row>
        <row r="429">
          <cell r="A429" t="str">
            <v>IGST @ 12 % SALES</v>
          </cell>
          <cell r="B429">
            <v>8</v>
          </cell>
          <cell r="C429" t="str">
            <v>Other Current Liabilities</v>
          </cell>
          <cell r="D429" t="str">
            <v>Statutory Dues</v>
          </cell>
          <cell r="E429">
            <v>0</v>
          </cell>
          <cell r="F429">
            <v>0</v>
          </cell>
          <cell r="G429">
            <v>0</v>
          </cell>
          <cell r="H429">
            <v>0</v>
          </cell>
          <cell r="I429">
            <v>0</v>
          </cell>
          <cell r="J429">
            <v>0</v>
          </cell>
          <cell r="K429">
            <v>0</v>
          </cell>
          <cell r="L429">
            <v>0</v>
          </cell>
          <cell r="M429">
            <v>0</v>
          </cell>
          <cell r="N429">
            <v>0</v>
          </cell>
          <cell r="O429">
            <v>0</v>
          </cell>
          <cell r="P429">
            <v>0</v>
          </cell>
        </row>
        <row r="430">
          <cell r="A430" t="str">
            <v>IGST Payable ( F. Y. 2019-20 )</v>
          </cell>
          <cell r="B430">
            <v>8</v>
          </cell>
          <cell r="C430" t="str">
            <v>Other Current Liabilities</v>
          </cell>
          <cell r="D430" t="str">
            <v>Statutory Dues</v>
          </cell>
          <cell r="E430">
            <v>0</v>
          </cell>
          <cell r="F430">
            <v>0</v>
          </cell>
          <cell r="G430">
            <v>0</v>
          </cell>
          <cell r="H430">
            <v>96640.56</v>
          </cell>
          <cell r="I430">
            <v>0</v>
          </cell>
          <cell r="J430">
            <v>96640.56</v>
          </cell>
          <cell r="K430">
            <v>0</v>
          </cell>
          <cell r="L430">
            <v>0</v>
          </cell>
          <cell r="M430">
            <v>0</v>
          </cell>
          <cell r="N430">
            <v>0</v>
          </cell>
          <cell r="O430">
            <v>0</v>
          </cell>
          <cell r="P430">
            <v>0</v>
          </cell>
        </row>
        <row r="431">
          <cell r="A431" t="str">
            <v>RCM on IGST  (Inward Supply)</v>
          </cell>
          <cell r="B431">
            <v>8</v>
          </cell>
          <cell r="C431" t="str">
            <v>Other Current Liabilities</v>
          </cell>
          <cell r="D431" t="str">
            <v>Statutory Dues</v>
          </cell>
          <cell r="E431">
            <v>592237</v>
          </cell>
          <cell r="F431">
            <v>0</v>
          </cell>
          <cell r="G431">
            <v>592237</v>
          </cell>
          <cell r="H431">
            <v>0</v>
          </cell>
          <cell r="I431">
            <v>0</v>
          </cell>
          <cell r="J431">
            <v>0</v>
          </cell>
          <cell r="K431">
            <v>0</v>
          </cell>
          <cell r="L431">
            <v>0</v>
          </cell>
          <cell r="M431">
            <v>0</v>
          </cell>
          <cell r="N431">
            <v>0</v>
          </cell>
          <cell r="O431">
            <v>0</v>
          </cell>
          <cell r="P431">
            <v>0</v>
          </cell>
        </row>
        <row r="432">
          <cell r="A432" t="str">
            <v>SGST @ 9% ON OTHER PURCHASE</v>
          </cell>
          <cell r="B432">
            <v>8</v>
          </cell>
          <cell r="C432" t="str">
            <v>Other Current Liabilities</v>
          </cell>
          <cell r="D432" t="str">
            <v>Statutory Dues</v>
          </cell>
          <cell r="E432">
            <v>188</v>
          </cell>
          <cell r="F432">
            <v>0</v>
          </cell>
          <cell r="G432">
            <v>188</v>
          </cell>
          <cell r="H432">
            <v>0</v>
          </cell>
          <cell r="I432">
            <v>0</v>
          </cell>
          <cell r="J432">
            <v>0</v>
          </cell>
          <cell r="K432">
            <v>0</v>
          </cell>
          <cell r="L432">
            <v>0</v>
          </cell>
          <cell r="M432">
            <v>0</v>
          </cell>
          <cell r="N432">
            <v>0</v>
          </cell>
          <cell r="O432">
            <v>0</v>
          </cell>
          <cell r="P432">
            <v>0</v>
          </cell>
        </row>
        <row r="433">
          <cell r="A433" t="str">
            <v>SGST Payable ( F. Y. 2019-20 )</v>
          </cell>
          <cell r="B433">
            <v>8</v>
          </cell>
          <cell r="C433" t="str">
            <v>Other Current Liabilities</v>
          </cell>
          <cell r="D433" t="str">
            <v>Statutory Dues</v>
          </cell>
          <cell r="E433">
            <v>0</v>
          </cell>
          <cell r="F433">
            <v>0</v>
          </cell>
          <cell r="G433">
            <v>0</v>
          </cell>
          <cell r="H433">
            <v>437242.14</v>
          </cell>
          <cell r="I433">
            <v>0</v>
          </cell>
          <cell r="J433">
            <v>437242.14</v>
          </cell>
          <cell r="K433">
            <v>0</v>
          </cell>
          <cell r="L433">
            <v>0</v>
          </cell>
          <cell r="M433">
            <v>0</v>
          </cell>
          <cell r="N433">
            <v>0</v>
          </cell>
          <cell r="O433">
            <v>0</v>
          </cell>
          <cell r="P433">
            <v>0</v>
          </cell>
        </row>
        <row r="434">
          <cell r="A434" t="str">
            <v>Credit Not Availed Ag.GST (F.Y. 18-19)</v>
          </cell>
          <cell r="B434">
            <v>8</v>
          </cell>
          <cell r="C434" t="str">
            <v>Other Current Liabilities</v>
          </cell>
          <cell r="D434" t="str">
            <v>Statutory Dues</v>
          </cell>
          <cell r="E434">
            <v>0</v>
          </cell>
          <cell r="F434">
            <v>0</v>
          </cell>
          <cell r="G434">
            <v>0</v>
          </cell>
          <cell r="H434">
            <v>0</v>
          </cell>
          <cell r="I434">
            <v>0</v>
          </cell>
          <cell r="J434">
            <v>0</v>
          </cell>
          <cell r="K434">
            <v>91098</v>
          </cell>
          <cell r="L434">
            <v>0</v>
          </cell>
          <cell r="M434">
            <v>91098</v>
          </cell>
          <cell r="N434">
            <v>0</v>
          </cell>
          <cell r="O434">
            <v>0</v>
          </cell>
          <cell r="P434">
            <v>0</v>
          </cell>
        </row>
        <row r="435">
          <cell r="A435" t="str">
            <v>OUTPUT VAT @ 6%</v>
          </cell>
          <cell r="B435">
            <v>19</v>
          </cell>
          <cell r="C435" t="str">
            <v>Revenue From Operations</v>
          </cell>
          <cell r="D435" t="str">
            <v>Sale of Goods - Manufacturing Sales</v>
          </cell>
          <cell r="E435">
            <v>0</v>
          </cell>
          <cell r="F435">
            <v>0</v>
          </cell>
          <cell r="G435">
            <v>0</v>
          </cell>
          <cell r="H435">
            <v>0</v>
          </cell>
          <cell r="I435">
            <v>0</v>
          </cell>
          <cell r="J435">
            <v>0</v>
          </cell>
          <cell r="K435">
            <v>0</v>
          </cell>
          <cell r="L435">
            <v>0</v>
          </cell>
          <cell r="M435">
            <v>0</v>
          </cell>
          <cell r="N435">
            <v>0</v>
          </cell>
          <cell r="O435">
            <v>0</v>
          </cell>
          <cell r="P435">
            <v>0</v>
          </cell>
        </row>
        <row r="436">
          <cell r="A436" t="str">
            <v>PACKING CHARGES</v>
          </cell>
          <cell r="B436">
            <v>19</v>
          </cell>
          <cell r="C436" t="str">
            <v>Revenue From Operations</v>
          </cell>
          <cell r="D436" t="str">
            <v>Sale of Goods - Manufacturing Sales</v>
          </cell>
          <cell r="E436">
            <v>0</v>
          </cell>
          <cell r="F436">
            <v>0</v>
          </cell>
          <cell r="G436">
            <v>0</v>
          </cell>
          <cell r="H436">
            <v>497880</v>
          </cell>
          <cell r="I436">
            <v>0</v>
          </cell>
          <cell r="J436">
            <v>497880</v>
          </cell>
          <cell r="K436">
            <v>0</v>
          </cell>
          <cell r="L436">
            <v>0</v>
          </cell>
          <cell r="M436">
            <v>0</v>
          </cell>
          <cell r="N436">
            <v>535495</v>
          </cell>
          <cell r="O436">
            <v>0</v>
          </cell>
          <cell r="P436">
            <v>535495</v>
          </cell>
        </row>
        <row r="437">
          <cell r="A437" t="str">
            <v>Packing Material Purchase</v>
          </cell>
          <cell r="B437">
            <v>26</v>
          </cell>
          <cell r="C437" t="str">
            <v>Other Expenses</v>
          </cell>
          <cell r="D437" t="str">
            <v>Manufacturing Expenses - Packing Material Consumed</v>
          </cell>
          <cell r="E437">
            <v>7311227.8099999996</v>
          </cell>
          <cell r="F437">
            <v>0</v>
          </cell>
          <cell r="G437">
            <v>7311227.8099999996</v>
          </cell>
          <cell r="H437">
            <v>0</v>
          </cell>
          <cell r="I437">
            <v>0</v>
          </cell>
          <cell r="J437">
            <v>0</v>
          </cell>
          <cell r="K437">
            <v>6832723.8099999996</v>
          </cell>
          <cell r="L437">
            <v>0</v>
          </cell>
          <cell r="M437">
            <v>6832723.8099999996</v>
          </cell>
          <cell r="N437">
            <v>0</v>
          </cell>
          <cell r="O437">
            <v>0</v>
          </cell>
          <cell r="P437">
            <v>0</v>
          </cell>
        </row>
        <row r="438">
          <cell r="A438" t="str">
            <v>PACKSAFE</v>
          </cell>
          <cell r="B438">
            <v>15</v>
          </cell>
          <cell r="C438" t="str">
            <v>Trade Receivables</v>
          </cell>
          <cell r="D438" t="str">
            <v>Other Debts</v>
          </cell>
          <cell r="E438">
            <v>361125</v>
          </cell>
          <cell r="F438">
            <v>0</v>
          </cell>
          <cell r="G438">
            <v>361125</v>
          </cell>
          <cell r="H438">
            <v>0</v>
          </cell>
          <cell r="I438">
            <v>0</v>
          </cell>
          <cell r="J438">
            <v>0</v>
          </cell>
          <cell r="K438">
            <v>0</v>
          </cell>
          <cell r="L438">
            <v>0</v>
          </cell>
          <cell r="M438">
            <v>0</v>
          </cell>
          <cell r="N438">
            <v>0</v>
          </cell>
          <cell r="O438">
            <v>0</v>
          </cell>
          <cell r="P438">
            <v>0</v>
          </cell>
        </row>
        <row r="439">
          <cell r="A439" t="str">
            <v>PANCHSHEEL TRADING CORPN., NAGPUR</v>
          </cell>
          <cell r="B439">
            <v>7</v>
          </cell>
          <cell r="C439" t="str">
            <v>Trade Payables</v>
          </cell>
          <cell r="D439" t="str">
            <v>Trade Payables</v>
          </cell>
          <cell r="E439">
            <v>0</v>
          </cell>
          <cell r="F439">
            <v>0</v>
          </cell>
          <cell r="G439">
            <v>0</v>
          </cell>
          <cell r="H439">
            <v>3172</v>
          </cell>
          <cell r="I439">
            <v>0</v>
          </cell>
          <cell r="J439">
            <v>3172</v>
          </cell>
          <cell r="K439">
            <v>0</v>
          </cell>
          <cell r="L439">
            <v>0</v>
          </cell>
          <cell r="M439">
            <v>0</v>
          </cell>
          <cell r="N439">
            <v>34438</v>
          </cell>
          <cell r="O439">
            <v>0</v>
          </cell>
          <cell r="P439">
            <v>34438</v>
          </cell>
        </row>
        <row r="440">
          <cell r="A440" t="str">
            <v>Panel Room (RCC)</v>
          </cell>
          <cell r="B440">
            <v>10</v>
          </cell>
          <cell r="C440" t="str">
            <v>Fixed Assets</v>
          </cell>
          <cell r="D440" t="str">
            <v>Tangible Asset</v>
          </cell>
          <cell r="E440">
            <v>0</v>
          </cell>
          <cell r="F440">
            <v>0</v>
          </cell>
          <cell r="G440">
            <v>0</v>
          </cell>
          <cell r="H440">
            <v>0</v>
          </cell>
          <cell r="I440">
            <v>0</v>
          </cell>
          <cell r="J440">
            <v>0</v>
          </cell>
          <cell r="K440">
            <v>0</v>
          </cell>
          <cell r="L440">
            <v>0</v>
          </cell>
          <cell r="M440">
            <v>0</v>
          </cell>
          <cell r="N440">
            <v>0</v>
          </cell>
          <cell r="O440">
            <v>0</v>
          </cell>
          <cell r="P440">
            <v>0</v>
          </cell>
        </row>
        <row r="441">
          <cell r="A441" t="str">
            <v>PAPER PACK INDUSTRIES(KEDAR)</v>
          </cell>
          <cell r="B441">
            <v>15</v>
          </cell>
          <cell r="C441" t="str">
            <v>Trade Receivables</v>
          </cell>
          <cell r="D441" t="str">
            <v>Other Debts</v>
          </cell>
          <cell r="E441">
            <v>0</v>
          </cell>
          <cell r="F441">
            <v>0</v>
          </cell>
          <cell r="G441">
            <v>0</v>
          </cell>
          <cell r="H441">
            <v>0</v>
          </cell>
          <cell r="I441">
            <v>0</v>
          </cell>
          <cell r="J441">
            <v>0</v>
          </cell>
          <cell r="K441">
            <v>0</v>
          </cell>
          <cell r="L441">
            <v>0</v>
          </cell>
          <cell r="M441">
            <v>0</v>
          </cell>
          <cell r="N441">
            <v>0</v>
          </cell>
          <cell r="O441">
            <v>0</v>
          </cell>
          <cell r="P441">
            <v>0</v>
          </cell>
        </row>
        <row r="442">
          <cell r="A442" t="str">
            <v>Pawansut Travel Pvt. Ltd.</v>
          </cell>
          <cell r="B442">
            <v>17</v>
          </cell>
          <cell r="C442" t="str">
            <v>Short Term Loans &amp; Advances</v>
          </cell>
          <cell r="D442" t="str">
            <v>Advance to Suppliers</v>
          </cell>
          <cell r="E442">
            <v>0</v>
          </cell>
          <cell r="F442">
            <v>0</v>
          </cell>
          <cell r="G442">
            <v>0</v>
          </cell>
          <cell r="H442">
            <v>0</v>
          </cell>
          <cell r="I442">
            <v>0</v>
          </cell>
          <cell r="J442">
            <v>0</v>
          </cell>
          <cell r="K442">
            <v>0</v>
          </cell>
          <cell r="L442">
            <v>0</v>
          </cell>
          <cell r="M442">
            <v>0</v>
          </cell>
          <cell r="N442">
            <v>0</v>
          </cell>
          <cell r="O442">
            <v>0</v>
          </cell>
          <cell r="P442">
            <v>0</v>
          </cell>
        </row>
        <row r="443">
          <cell r="A443" t="str">
            <v>Payable to Boiler Fireman Charges</v>
          </cell>
          <cell r="B443">
            <v>9</v>
          </cell>
          <cell r="C443" t="str">
            <v>Short Term Provision</v>
          </cell>
          <cell r="D443" t="str">
            <v>Provision for Employee Benefit</v>
          </cell>
          <cell r="E443">
            <v>0</v>
          </cell>
          <cell r="F443">
            <v>0</v>
          </cell>
          <cell r="G443">
            <v>0</v>
          </cell>
          <cell r="H443">
            <v>274949</v>
          </cell>
          <cell r="I443">
            <v>0</v>
          </cell>
          <cell r="J443">
            <v>274949</v>
          </cell>
          <cell r="K443">
            <v>0</v>
          </cell>
          <cell r="L443">
            <v>0</v>
          </cell>
          <cell r="M443">
            <v>0</v>
          </cell>
          <cell r="N443">
            <v>244340</v>
          </cell>
          <cell r="O443">
            <v>0</v>
          </cell>
          <cell r="P443">
            <v>244340</v>
          </cell>
        </row>
        <row r="444">
          <cell r="A444" t="str">
            <v>Payable To Raw Material Sorting</v>
          </cell>
          <cell r="B444">
            <v>7</v>
          </cell>
          <cell r="C444" t="str">
            <v>Trade Payables</v>
          </cell>
          <cell r="D444" t="str">
            <v>Trade Payables - Others</v>
          </cell>
          <cell r="E444">
            <v>0</v>
          </cell>
          <cell r="F444">
            <v>0</v>
          </cell>
          <cell r="G444">
            <v>0</v>
          </cell>
          <cell r="H444">
            <v>423402</v>
          </cell>
          <cell r="I444">
            <v>0</v>
          </cell>
          <cell r="J444">
            <v>423402</v>
          </cell>
          <cell r="K444">
            <v>0</v>
          </cell>
          <cell r="L444">
            <v>0</v>
          </cell>
          <cell r="M444">
            <v>0</v>
          </cell>
          <cell r="N444">
            <v>407871</v>
          </cell>
          <cell r="O444">
            <v>0</v>
          </cell>
          <cell r="P444">
            <v>407871</v>
          </cell>
        </row>
        <row r="445">
          <cell r="A445" t="str">
            <v>Payable Waste Paper Feeding Charges</v>
          </cell>
          <cell r="B445">
            <v>7</v>
          </cell>
          <cell r="C445" t="str">
            <v>Trade Payables</v>
          </cell>
          <cell r="D445" t="str">
            <v>Trade Payables - Others</v>
          </cell>
          <cell r="E445">
            <v>0</v>
          </cell>
          <cell r="F445">
            <v>0</v>
          </cell>
          <cell r="G445">
            <v>0</v>
          </cell>
          <cell r="H445">
            <v>523713</v>
          </cell>
          <cell r="I445">
            <v>0</v>
          </cell>
          <cell r="J445">
            <v>523713</v>
          </cell>
          <cell r="K445">
            <v>0</v>
          </cell>
          <cell r="L445">
            <v>0</v>
          </cell>
          <cell r="M445">
            <v>0</v>
          </cell>
          <cell r="N445">
            <v>544798</v>
          </cell>
          <cell r="O445">
            <v>0</v>
          </cell>
          <cell r="P445">
            <v>544798</v>
          </cell>
        </row>
        <row r="446">
          <cell r="A446" t="str">
            <v>PENALTY ON CGST</v>
          </cell>
          <cell r="B446">
            <v>26</v>
          </cell>
          <cell r="C446" t="str">
            <v>Other Expenses</v>
          </cell>
          <cell r="D446" t="str">
            <v>Establishment Expenses-Rates &amp; Taxes</v>
          </cell>
          <cell r="E446">
            <v>0</v>
          </cell>
          <cell r="F446">
            <v>0</v>
          </cell>
          <cell r="G446">
            <v>0</v>
          </cell>
          <cell r="H446">
            <v>0</v>
          </cell>
          <cell r="I446">
            <v>0</v>
          </cell>
          <cell r="J446">
            <v>0</v>
          </cell>
          <cell r="K446">
            <v>75</v>
          </cell>
          <cell r="L446">
            <v>0</v>
          </cell>
          <cell r="M446">
            <v>75</v>
          </cell>
          <cell r="N446">
            <v>0</v>
          </cell>
          <cell r="O446">
            <v>0</v>
          </cell>
          <cell r="P446">
            <v>0</v>
          </cell>
        </row>
        <row r="447">
          <cell r="A447" t="str">
            <v>Penalty on Custom Duty</v>
          </cell>
          <cell r="B447">
            <v>26</v>
          </cell>
          <cell r="C447" t="str">
            <v>Other Expenses</v>
          </cell>
          <cell r="D447" t="str">
            <v>Establishment Expenses-Rates &amp; Taxes</v>
          </cell>
          <cell r="E447">
            <v>0</v>
          </cell>
          <cell r="F447">
            <v>0</v>
          </cell>
          <cell r="G447">
            <v>0</v>
          </cell>
          <cell r="H447">
            <v>0</v>
          </cell>
          <cell r="I447">
            <v>0</v>
          </cell>
          <cell r="J447">
            <v>0</v>
          </cell>
          <cell r="K447">
            <v>3000</v>
          </cell>
          <cell r="L447">
            <v>0</v>
          </cell>
          <cell r="M447">
            <v>3000</v>
          </cell>
          <cell r="N447">
            <v>0</v>
          </cell>
          <cell r="O447">
            <v>0</v>
          </cell>
          <cell r="P447">
            <v>0</v>
          </cell>
        </row>
        <row r="448">
          <cell r="A448" t="str">
            <v>Penalty on Excise Duty</v>
          </cell>
          <cell r="B448">
            <v>26</v>
          </cell>
          <cell r="C448" t="str">
            <v>Other Expenses</v>
          </cell>
          <cell r="D448" t="str">
            <v>Establishment Expenses-Rates &amp; Taxes</v>
          </cell>
          <cell r="E448">
            <v>0</v>
          </cell>
          <cell r="F448">
            <v>0</v>
          </cell>
          <cell r="G448">
            <v>0</v>
          </cell>
          <cell r="H448">
            <v>0</v>
          </cell>
          <cell r="I448">
            <v>0</v>
          </cell>
          <cell r="J448">
            <v>0</v>
          </cell>
          <cell r="K448">
            <v>19678</v>
          </cell>
          <cell r="L448">
            <v>0</v>
          </cell>
          <cell r="M448">
            <v>19678</v>
          </cell>
          <cell r="N448">
            <v>0</v>
          </cell>
          <cell r="O448">
            <v>0</v>
          </cell>
          <cell r="P448">
            <v>0</v>
          </cell>
        </row>
        <row r="449">
          <cell r="A449" t="str">
            <v>Penalty on Sales Tax</v>
          </cell>
          <cell r="B449">
            <v>26</v>
          </cell>
          <cell r="C449" t="str">
            <v>Other Expenses</v>
          </cell>
          <cell r="D449" t="str">
            <v>Establishment Expenses-Rates &amp; Taxes</v>
          </cell>
          <cell r="E449">
            <v>0</v>
          </cell>
          <cell r="F449">
            <v>0</v>
          </cell>
          <cell r="G449">
            <v>0</v>
          </cell>
          <cell r="H449">
            <v>0</v>
          </cell>
          <cell r="I449">
            <v>0</v>
          </cell>
          <cell r="J449">
            <v>0</v>
          </cell>
          <cell r="K449">
            <v>0</v>
          </cell>
          <cell r="L449">
            <v>0</v>
          </cell>
          <cell r="M449">
            <v>0</v>
          </cell>
          <cell r="N449">
            <v>0</v>
          </cell>
          <cell r="O449">
            <v>0</v>
          </cell>
          <cell r="P449">
            <v>0</v>
          </cell>
        </row>
        <row r="450">
          <cell r="A450" t="str">
            <v>Penalty on Service Tax</v>
          </cell>
          <cell r="B450">
            <v>26</v>
          </cell>
          <cell r="C450" t="str">
            <v>Other Expenses</v>
          </cell>
          <cell r="D450" t="str">
            <v>Establishment Expenses-Rates &amp; Taxes</v>
          </cell>
          <cell r="E450">
            <v>0</v>
          </cell>
          <cell r="F450">
            <v>0</v>
          </cell>
          <cell r="G450">
            <v>0</v>
          </cell>
          <cell r="H450">
            <v>0</v>
          </cell>
          <cell r="I450">
            <v>0</v>
          </cell>
          <cell r="J450">
            <v>0</v>
          </cell>
          <cell r="K450">
            <v>0</v>
          </cell>
          <cell r="L450">
            <v>0</v>
          </cell>
          <cell r="M450">
            <v>0</v>
          </cell>
          <cell r="N450">
            <v>0</v>
          </cell>
          <cell r="O450">
            <v>0</v>
          </cell>
          <cell r="P450">
            <v>0</v>
          </cell>
        </row>
        <row r="451">
          <cell r="A451" t="str">
            <v>PENALTY ON SGST</v>
          </cell>
          <cell r="B451">
            <v>26</v>
          </cell>
          <cell r="C451" t="str">
            <v>Other Expenses</v>
          </cell>
          <cell r="D451" t="str">
            <v>Establishment Expenses-Rates &amp; Taxes</v>
          </cell>
          <cell r="E451">
            <v>0</v>
          </cell>
          <cell r="F451">
            <v>0</v>
          </cell>
          <cell r="G451">
            <v>0</v>
          </cell>
          <cell r="H451">
            <v>0</v>
          </cell>
          <cell r="I451">
            <v>0</v>
          </cell>
          <cell r="J451">
            <v>0</v>
          </cell>
          <cell r="K451">
            <v>75</v>
          </cell>
          <cell r="L451">
            <v>0</v>
          </cell>
          <cell r="M451">
            <v>75</v>
          </cell>
          <cell r="N451">
            <v>0</v>
          </cell>
          <cell r="O451">
            <v>0</v>
          </cell>
          <cell r="P451">
            <v>0</v>
          </cell>
        </row>
        <row r="452">
          <cell r="A452" t="str">
            <v>Penalty to Compliance (MSEI)</v>
          </cell>
          <cell r="B452">
            <v>26</v>
          </cell>
          <cell r="C452" t="str">
            <v>Other Expenses</v>
          </cell>
          <cell r="D452" t="str">
            <v>Establishment Expenses-Rates &amp; Taxes</v>
          </cell>
          <cell r="E452">
            <v>281000</v>
          </cell>
          <cell r="F452">
            <v>0</v>
          </cell>
          <cell r="G452">
            <v>281000</v>
          </cell>
          <cell r="H452">
            <v>0</v>
          </cell>
          <cell r="I452">
            <v>0</v>
          </cell>
          <cell r="J452">
            <v>0</v>
          </cell>
          <cell r="K452">
            <v>33000</v>
          </cell>
          <cell r="L452">
            <v>0</v>
          </cell>
          <cell r="M452">
            <v>33000</v>
          </cell>
          <cell r="N452">
            <v>0</v>
          </cell>
          <cell r="O452">
            <v>0</v>
          </cell>
          <cell r="P452">
            <v>0</v>
          </cell>
        </row>
        <row r="453">
          <cell r="A453" t="str">
            <v>Plant &amp; Machinery</v>
          </cell>
          <cell r="B453">
            <v>10</v>
          </cell>
          <cell r="C453" t="str">
            <v>Fixed Assets</v>
          </cell>
          <cell r="D453" t="str">
            <v>Tangible Asset</v>
          </cell>
          <cell r="E453">
            <v>217294094.62</v>
          </cell>
          <cell r="F453">
            <v>0</v>
          </cell>
          <cell r="G453">
            <v>217294094.62</v>
          </cell>
          <cell r="H453">
            <v>0</v>
          </cell>
          <cell r="I453">
            <v>0</v>
          </cell>
          <cell r="J453">
            <v>0</v>
          </cell>
          <cell r="K453">
            <v>213053551.43000001</v>
          </cell>
          <cell r="L453">
            <v>0</v>
          </cell>
          <cell r="M453">
            <v>213053551.43000001</v>
          </cell>
          <cell r="N453">
            <v>0</v>
          </cell>
          <cell r="O453">
            <v>0</v>
          </cell>
          <cell r="P453">
            <v>0</v>
          </cell>
        </row>
        <row r="454">
          <cell r="A454" t="str">
            <v>Pooja Expenses</v>
          </cell>
          <cell r="B454">
            <v>26</v>
          </cell>
          <cell r="C454" t="str">
            <v>Other Expenses</v>
          </cell>
          <cell r="D454" t="str">
            <v>Establishment Expenses-General Expenses</v>
          </cell>
          <cell r="E454">
            <v>161998</v>
          </cell>
          <cell r="F454">
            <v>0</v>
          </cell>
          <cell r="G454">
            <v>161998</v>
          </cell>
          <cell r="H454">
            <v>0</v>
          </cell>
          <cell r="I454">
            <v>0</v>
          </cell>
          <cell r="J454">
            <v>0</v>
          </cell>
          <cell r="K454">
            <v>90444</v>
          </cell>
          <cell r="L454">
            <v>0</v>
          </cell>
          <cell r="M454">
            <v>90444</v>
          </cell>
          <cell r="N454">
            <v>0</v>
          </cell>
          <cell r="O454">
            <v>0</v>
          </cell>
          <cell r="P454">
            <v>0</v>
          </cell>
        </row>
        <row r="455">
          <cell r="A455" t="str">
            <v>Power &amp; Electricity Payable</v>
          </cell>
          <cell r="B455">
            <v>7</v>
          </cell>
          <cell r="C455" t="str">
            <v>Trade Payables</v>
          </cell>
          <cell r="D455" t="str">
            <v>Trade Payables - Others</v>
          </cell>
          <cell r="E455">
            <v>0</v>
          </cell>
          <cell r="F455">
            <v>0</v>
          </cell>
          <cell r="G455">
            <v>0</v>
          </cell>
          <cell r="H455">
            <v>4956590</v>
          </cell>
          <cell r="I455">
            <v>0</v>
          </cell>
          <cell r="J455">
            <v>4956590</v>
          </cell>
          <cell r="K455">
            <v>0</v>
          </cell>
          <cell r="L455">
            <v>0</v>
          </cell>
          <cell r="M455">
            <v>0</v>
          </cell>
          <cell r="N455">
            <v>6010670</v>
          </cell>
          <cell r="O455">
            <v>0</v>
          </cell>
          <cell r="P455">
            <v>6010670</v>
          </cell>
        </row>
        <row r="456">
          <cell r="A456" t="str">
            <v>Power Incentive Receivable</v>
          </cell>
          <cell r="B456">
            <v>17</v>
          </cell>
          <cell r="C456" t="str">
            <v>Short Term Loans &amp; Advances</v>
          </cell>
          <cell r="D456" t="str">
            <v>Balance with Government Authorities</v>
          </cell>
          <cell r="E456">
            <v>0</v>
          </cell>
          <cell r="F456">
            <v>0</v>
          </cell>
          <cell r="G456">
            <v>0</v>
          </cell>
          <cell r="H456">
            <v>0</v>
          </cell>
          <cell r="I456">
            <v>0</v>
          </cell>
          <cell r="J456">
            <v>0</v>
          </cell>
          <cell r="K456">
            <v>0</v>
          </cell>
          <cell r="L456">
            <v>0</v>
          </cell>
          <cell r="M456">
            <v>0</v>
          </cell>
          <cell r="N456">
            <v>0</v>
          </cell>
          <cell r="O456">
            <v>0</v>
          </cell>
          <cell r="P456">
            <v>0</v>
          </cell>
        </row>
        <row r="457">
          <cell r="A457" t="str">
            <v>Pragathi Bearing Company</v>
          </cell>
          <cell r="B457">
            <v>7</v>
          </cell>
          <cell r="C457" t="str">
            <v>Trade Payables</v>
          </cell>
          <cell r="D457" t="str">
            <v>Trade Payables</v>
          </cell>
          <cell r="E457">
            <v>0</v>
          </cell>
          <cell r="F457">
            <v>0</v>
          </cell>
          <cell r="G457">
            <v>0</v>
          </cell>
          <cell r="H457">
            <v>0</v>
          </cell>
          <cell r="I457">
            <v>0</v>
          </cell>
          <cell r="J457">
            <v>0</v>
          </cell>
          <cell r="K457">
            <v>0</v>
          </cell>
          <cell r="L457">
            <v>0</v>
          </cell>
          <cell r="M457">
            <v>0</v>
          </cell>
          <cell r="N457">
            <v>51416</v>
          </cell>
          <cell r="O457">
            <v>0</v>
          </cell>
          <cell r="P457">
            <v>51416</v>
          </cell>
        </row>
        <row r="458">
          <cell r="A458" t="str">
            <v>Prakash Chaple</v>
          </cell>
          <cell r="B458">
            <v>12</v>
          </cell>
          <cell r="C458" t="str">
            <v>Long Term Loans &amp; Advances</v>
          </cell>
          <cell r="D458" t="str">
            <v>Loans and Advances to Employees</v>
          </cell>
          <cell r="E458">
            <v>0</v>
          </cell>
          <cell r="F458">
            <v>0</v>
          </cell>
          <cell r="G458">
            <v>0</v>
          </cell>
          <cell r="H458">
            <v>0</v>
          </cell>
          <cell r="I458">
            <v>0</v>
          </cell>
          <cell r="J458">
            <v>0</v>
          </cell>
          <cell r="K458">
            <v>23000</v>
          </cell>
          <cell r="L458">
            <v>0</v>
          </cell>
          <cell r="M458">
            <v>23000</v>
          </cell>
          <cell r="N458">
            <v>0</v>
          </cell>
          <cell r="O458">
            <v>0</v>
          </cell>
          <cell r="P458">
            <v>0</v>
          </cell>
        </row>
        <row r="459">
          <cell r="A459" t="str">
            <v>Pratik Enterprises</v>
          </cell>
          <cell r="B459">
            <v>7</v>
          </cell>
          <cell r="C459" t="str">
            <v>Trade Payables</v>
          </cell>
          <cell r="D459" t="str">
            <v>Trade Payables</v>
          </cell>
          <cell r="E459">
            <v>0</v>
          </cell>
          <cell r="F459">
            <v>0</v>
          </cell>
          <cell r="G459">
            <v>0</v>
          </cell>
          <cell r="H459">
            <v>0</v>
          </cell>
          <cell r="I459">
            <v>0</v>
          </cell>
          <cell r="J459">
            <v>0</v>
          </cell>
          <cell r="K459">
            <v>0</v>
          </cell>
          <cell r="L459">
            <v>0</v>
          </cell>
          <cell r="M459">
            <v>0</v>
          </cell>
          <cell r="N459">
            <v>0</v>
          </cell>
          <cell r="O459">
            <v>0</v>
          </cell>
          <cell r="P459">
            <v>0</v>
          </cell>
        </row>
        <row r="460">
          <cell r="A460" t="str">
            <v>Prayag Industries</v>
          </cell>
          <cell r="B460">
            <v>8</v>
          </cell>
          <cell r="C460" t="str">
            <v>Other Current Liabilities</v>
          </cell>
          <cell r="D460" t="str">
            <v>Trade Payables for capital goods</v>
          </cell>
          <cell r="E460">
            <v>0</v>
          </cell>
          <cell r="F460">
            <v>0</v>
          </cell>
          <cell r="G460">
            <v>0</v>
          </cell>
          <cell r="H460">
            <v>0</v>
          </cell>
          <cell r="I460">
            <v>0</v>
          </cell>
          <cell r="J460">
            <v>0</v>
          </cell>
          <cell r="K460">
            <v>0</v>
          </cell>
          <cell r="L460">
            <v>0</v>
          </cell>
          <cell r="M460">
            <v>0</v>
          </cell>
          <cell r="N460">
            <v>409053</v>
          </cell>
          <cell r="O460">
            <v>0</v>
          </cell>
          <cell r="P460">
            <v>409053</v>
          </cell>
        </row>
        <row r="461">
          <cell r="A461" t="str">
            <v>Premier India Road Service, Nagpur</v>
          </cell>
          <cell r="B461">
            <v>7</v>
          </cell>
          <cell r="C461" t="str">
            <v>Trade Payables</v>
          </cell>
          <cell r="D461" t="str">
            <v>Trade Payables</v>
          </cell>
          <cell r="E461">
            <v>0</v>
          </cell>
          <cell r="F461">
            <v>0</v>
          </cell>
          <cell r="G461">
            <v>0</v>
          </cell>
          <cell r="H461">
            <v>38030</v>
          </cell>
          <cell r="I461">
            <v>0</v>
          </cell>
          <cell r="J461">
            <v>38030</v>
          </cell>
          <cell r="K461">
            <v>0</v>
          </cell>
          <cell r="L461">
            <v>0</v>
          </cell>
          <cell r="M461">
            <v>0</v>
          </cell>
          <cell r="N461">
            <v>72740</v>
          </cell>
          <cell r="O461">
            <v>0</v>
          </cell>
          <cell r="P461">
            <v>72740</v>
          </cell>
        </row>
        <row r="462">
          <cell r="A462" t="str">
            <v>Pre-Paid Renewal &amp; Registration</v>
          </cell>
          <cell r="B462">
            <v>18</v>
          </cell>
          <cell r="C462" t="str">
            <v>Other Current Assets</v>
          </cell>
          <cell r="D462" t="str">
            <v>Prepaid Expenses</v>
          </cell>
          <cell r="E462">
            <v>282060</v>
          </cell>
          <cell r="F462">
            <v>0</v>
          </cell>
          <cell r="G462">
            <v>282060</v>
          </cell>
          <cell r="H462">
            <v>0</v>
          </cell>
          <cell r="I462">
            <v>0</v>
          </cell>
          <cell r="J462">
            <v>0</v>
          </cell>
          <cell r="K462">
            <v>493128</v>
          </cell>
          <cell r="L462">
            <v>0</v>
          </cell>
          <cell r="M462">
            <v>493128</v>
          </cell>
          <cell r="N462">
            <v>0</v>
          </cell>
          <cell r="O462">
            <v>0</v>
          </cell>
          <cell r="P462">
            <v>0</v>
          </cell>
        </row>
        <row r="463">
          <cell r="A463" t="str">
            <v>Prior Period Expenses</v>
          </cell>
          <cell r="B463">
            <v>26</v>
          </cell>
          <cell r="C463" t="str">
            <v>Other Expenses</v>
          </cell>
          <cell r="D463" t="str">
            <v>Establishment Expenses-Rates &amp; Taxes</v>
          </cell>
          <cell r="E463">
            <v>0</v>
          </cell>
          <cell r="F463">
            <v>0</v>
          </cell>
          <cell r="G463">
            <v>0</v>
          </cell>
          <cell r="H463">
            <v>0</v>
          </cell>
          <cell r="I463">
            <v>0</v>
          </cell>
          <cell r="J463">
            <v>0</v>
          </cell>
          <cell r="K463">
            <v>0</v>
          </cell>
          <cell r="L463">
            <v>0</v>
          </cell>
          <cell r="M463">
            <v>0</v>
          </cell>
          <cell r="N463">
            <v>0</v>
          </cell>
          <cell r="O463">
            <v>0</v>
          </cell>
          <cell r="P463">
            <v>0</v>
          </cell>
        </row>
        <row r="464">
          <cell r="A464" t="str">
            <v>PRIYANKA TECHNOPACK PVT. LTD.</v>
          </cell>
          <cell r="B464">
            <v>15</v>
          </cell>
          <cell r="C464" t="str">
            <v>Trade Receivables</v>
          </cell>
          <cell r="D464" t="str">
            <v>Other Debts</v>
          </cell>
          <cell r="E464">
            <v>0</v>
          </cell>
          <cell r="F464">
            <v>0</v>
          </cell>
          <cell r="G464">
            <v>0</v>
          </cell>
          <cell r="H464">
            <v>0</v>
          </cell>
          <cell r="I464">
            <v>0</v>
          </cell>
          <cell r="J464">
            <v>0</v>
          </cell>
          <cell r="K464">
            <v>0</v>
          </cell>
          <cell r="L464">
            <v>0</v>
          </cell>
          <cell r="M464">
            <v>0</v>
          </cell>
          <cell r="N464">
            <v>7758</v>
          </cell>
          <cell r="O464">
            <v>0</v>
          </cell>
          <cell r="P464">
            <v>7758</v>
          </cell>
        </row>
        <row r="465">
          <cell r="A465" t="str">
            <v>Professional Fees</v>
          </cell>
          <cell r="B465">
            <v>26</v>
          </cell>
          <cell r="C465" t="str">
            <v>Other Expenses</v>
          </cell>
          <cell r="D465" t="str">
            <v>Establishment Expenses-Legal &amp; Professional Charges</v>
          </cell>
          <cell r="E465">
            <v>509760.8</v>
          </cell>
          <cell r="F465">
            <v>0</v>
          </cell>
          <cell r="G465">
            <v>509760.8</v>
          </cell>
          <cell r="H465">
            <v>0</v>
          </cell>
          <cell r="I465">
            <v>0</v>
          </cell>
          <cell r="J465">
            <v>0</v>
          </cell>
          <cell r="K465">
            <v>1259000</v>
          </cell>
          <cell r="L465">
            <v>0</v>
          </cell>
          <cell r="M465">
            <v>1259000</v>
          </cell>
          <cell r="N465">
            <v>0</v>
          </cell>
          <cell r="O465">
            <v>0</v>
          </cell>
          <cell r="P465">
            <v>0</v>
          </cell>
        </row>
        <row r="466">
          <cell r="A466" t="str">
            <v>Professional Tax</v>
          </cell>
          <cell r="B466">
            <v>26</v>
          </cell>
          <cell r="C466" t="str">
            <v>Other Expenses</v>
          </cell>
          <cell r="D466" t="str">
            <v>Establishment Expenses-Rates &amp; Taxes</v>
          </cell>
          <cell r="E466">
            <v>0</v>
          </cell>
          <cell r="F466">
            <v>0</v>
          </cell>
          <cell r="G466">
            <v>0</v>
          </cell>
          <cell r="H466">
            <v>0</v>
          </cell>
          <cell r="I466">
            <v>0</v>
          </cell>
          <cell r="J466">
            <v>0</v>
          </cell>
          <cell r="K466">
            <v>5000</v>
          </cell>
          <cell r="L466">
            <v>0</v>
          </cell>
          <cell r="M466">
            <v>5000</v>
          </cell>
          <cell r="N466">
            <v>0</v>
          </cell>
          <cell r="O466">
            <v>0</v>
          </cell>
          <cell r="P466">
            <v>0</v>
          </cell>
        </row>
        <row r="467">
          <cell r="A467" t="str">
            <v>Profit &amp; Loss A/C</v>
          </cell>
          <cell r="B467">
            <v>3</v>
          </cell>
          <cell r="C467" t="str">
            <v>Reserves &amp; Surplus</v>
          </cell>
          <cell r="D467" t="str">
            <v>Surplus</v>
          </cell>
          <cell r="E467">
            <v>0</v>
          </cell>
          <cell r="F467">
            <v>0</v>
          </cell>
          <cell r="G467">
            <v>0</v>
          </cell>
          <cell r="H467">
            <v>112979368.51000001</v>
          </cell>
          <cell r="I467">
            <v>0</v>
          </cell>
          <cell r="J467">
            <v>112979368.51000001</v>
          </cell>
          <cell r="K467">
            <v>0</v>
          </cell>
          <cell r="L467">
            <v>0</v>
          </cell>
          <cell r="M467">
            <v>0</v>
          </cell>
          <cell r="N467">
            <v>54521566.57</v>
          </cell>
          <cell r="O467">
            <v>0</v>
          </cell>
          <cell r="P467">
            <v>54521566.57</v>
          </cell>
        </row>
        <row r="468">
          <cell r="A468" t="str">
            <v>Profit on Sales Tax Under P.S.I.Scheme</v>
          </cell>
          <cell r="B468">
            <v>20</v>
          </cell>
          <cell r="C468" t="str">
            <v>Other Income</v>
          </cell>
          <cell r="D468" t="str">
            <v>Other Income</v>
          </cell>
          <cell r="E468">
            <v>0</v>
          </cell>
          <cell r="F468">
            <v>0</v>
          </cell>
          <cell r="G468">
            <v>0</v>
          </cell>
          <cell r="H468">
            <v>9443500</v>
          </cell>
          <cell r="I468">
            <v>0</v>
          </cell>
          <cell r="J468">
            <v>9443500</v>
          </cell>
          <cell r="K468">
            <v>0</v>
          </cell>
          <cell r="L468">
            <v>0</v>
          </cell>
          <cell r="M468">
            <v>0</v>
          </cell>
          <cell r="N468">
            <v>9443500</v>
          </cell>
          <cell r="O468">
            <v>0</v>
          </cell>
          <cell r="P468">
            <v>9443500</v>
          </cell>
        </row>
        <row r="469">
          <cell r="A469" t="str">
            <v>Provident Fund Contribution Exp.</v>
          </cell>
          <cell r="B469">
            <v>24</v>
          </cell>
          <cell r="C469" t="str">
            <v>Employee Benefit Expenses</v>
          </cell>
          <cell r="D469" t="str">
            <v>Contribution to Funds</v>
          </cell>
          <cell r="E469">
            <v>1171704</v>
          </cell>
          <cell r="F469">
            <v>0</v>
          </cell>
          <cell r="G469">
            <v>1171704</v>
          </cell>
          <cell r="H469">
            <v>0</v>
          </cell>
          <cell r="I469">
            <v>0</v>
          </cell>
          <cell r="J469">
            <v>0</v>
          </cell>
          <cell r="K469">
            <v>1175170</v>
          </cell>
          <cell r="L469">
            <v>0</v>
          </cell>
          <cell r="M469">
            <v>1175170</v>
          </cell>
          <cell r="N469">
            <v>0</v>
          </cell>
          <cell r="O469">
            <v>0</v>
          </cell>
          <cell r="P469">
            <v>0</v>
          </cell>
        </row>
        <row r="470">
          <cell r="A470" t="str">
            <v>Provision For A.Y. 2008-09</v>
          </cell>
          <cell r="B470">
            <v>12</v>
          </cell>
          <cell r="C470" t="str">
            <v>Long Term Loans &amp; Advances</v>
          </cell>
          <cell r="D470" t="str">
            <v>Advance Income Tax</v>
          </cell>
          <cell r="E470">
            <v>0</v>
          </cell>
          <cell r="F470">
            <v>0</v>
          </cell>
          <cell r="G470">
            <v>0</v>
          </cell>
          <cell r="H470">
            <v>0</v>
          </cell>
          <cell r="I470">
            <v>0</v>
          </cell>
          <cell r="J470">
            <v>0</v>
          </cell>
          <cell r="K470">
            <v>0</v>
          </cell>
          <cell r="L470">
            <v>0</v>
          </cell>
          <cell r="M470">
            <v>0</v>
          </cell>
          <cell r="N470">
            <v>0</v>
          </cell>
          <cell r="O470">
            <v>0</v>
          </cell>
          <cell r="P470">
            <v>0</v>
          </cell>
        </row>
        <row r="471">
          <cell r="A471" t="str">
            <v>Provision for Income Tax (A.Y.2019-20)</v>
          </cell>
          <cell r="B471">
            <v>12</v>
          </cell>
          <cell r="C471" t="str">
            <v>Long Term Loans &amp; Advances</v>
          </cell>
          <cell r="D471" t="str">
            <v>Advance Income Tax</v>
          </cell>
          <cell r="E471">
            <v>0</v>
          </cell>
          <cell r="F471">
            <v>0</v>
          </cell>
          <cell r="G471">
            <v>0</v>
          </cell>
          <cell r="H471">
            <v>16160409</v>
          </cell>
          <cell r="I471">
            <v>0</v>
          </cell>
          <cell r="J471">
            <v>16160409</v>
          </cell>
          <cell r="K471">
            <v>0</v>
          </cell>
          <cell r="L471">
            <v>0</v>
          </cell>
          <cell r="M471">
            <v>0</v>
          </cell>
          <cell r="N471">
            <v>0</v>
          </cell>
          <cell r="O471">
            <v>0</v>
          </cell>
          <cell r="P471">
            <v>0</v>
          </cell>
        </row>
        <row r="472">
          <cell r="A472" t="str">
            <v>Provision for Acturial Gratuity</v>
          </cell>
          <cell r="B472">
            <v>9</v>
          </cell>
          <cell r="C472" t="str">
            <v>Short Term Provision</v>
          </cell>
          <cell r="D472" t="str">
            <v>Provision for Employee Benefit</v>
          </cell>
          <cell r="E472">
            <v>0</v>
          </cell>
          <cell r="F472">
            <v>0</v>
          </cell>
          <cell r="G472">
            <v>0</v>
          </cell>
          <cell r="H472">
            <v>5425598</v>
          </cell>
          <cell r="I472">
            <v>0</v>
          </cell>
          <cell r="J472">
            <v>5425598</v>
          </cell>
          <cell r="K472">
            <v>0</v>
          </cell>
          <cell r="L472">
            <v>0</v>
          </cell>
          <cell r="M472">
            <v>0</v>
          </cell>
          <cell r="N472">
            <v>4285449</v>
          </cell>
          <cell r="O472">
            <v>4285448</v>
          </cell>
          <cell r="P472">
            <v>4285449</v>
          </cell>
        </row>
        <row r="473">
          <cell r="A473" t="str">
            <v>Provision for Depreciation Building</v>
          </cell>
          <cell r="B473">
            <v>10</v>
          </cell>
          <cell r="C473" t="str">
            <v>Fixed Assets</v>
          </cell>
          <cell r="D473" t="str">
            <v>Tangible Asset - PFD</v>
          </cell>
          <cell r="E473">
            <v>0</v>
          </cell>
          <cell r="F473">
            <v>0</v>
          </cell>
          <cell r="G473">
            <v>0</v>
          </cell>
          <cell r="H473">
            <v>3329480</v>
          </cell>
          <cell r="I473">
            <v>0</v>
          </cell>
          <cell r="J473">
            <v>3329480</v>
          </cell>
          <cell r="K473">
            <v>0</v>
          </cell>
          <cell r="L473">
            <v>0</v>
          </cell>
          <cell r="M473">
            <v>0</v>
          </cell>
          <cell r="N473">
            <v>1578365</v>
          </cell>
          <cell r="O473">
            <v>0</v>
          </cell>
          <cell r="P473">
            <v>1578365</v>
          </cell>
        </row>
        <row r="474">
          <cell r="A474" t="str">
            <v>Provision For Depreciation Computer</v>
          </cell>
          <cell r="B474">
            <v>10</v>
          </cell>
          <cell r="C474" t="str">
            <v>Fixed Assets</v>
          </cell>
          <cell r="D474" t="str">
            <v>Tangible Asset - PFD</v>
          </cell>
          <cell r="E474">
            <v>0</v>
          </cell>
          <cell r="F474">
            <v>0</v>
          </cell>
          <cell r="G474">
            <v>0</v>
          </cell>
          <cell r="H474">
            <v>939587</v>
          </cell>
          <cell r="I474">
            <v>0</v>
          </cell>
          <cell r="J474">
            <v>939587</v>
          </cell>
          <cell r="K474">
            <v>0</v>
          </cell>
          <cell r="L474">
            <v>0</v>
          </cell>
          <cell r="M474">
            <v>0</v>
          </cell>
          <cell r="N474">
            <v>846428</v>
          </cell>
          <cell r="O474">
            <v>0</v>
          </cell>
          <cell r="P474">
            <v>846428</v>
          </cell>
        </row>
        <row r="475">
          <cell r="A475" t="str">
            <v>Provision For Depreciation Electrical Installation</v>
          </cell>
          <cell r="B475">
            <v>10</v>
          </cell>
          <cell r="C475" t="str">
            <v>Fixed Assets</v>
          </cell>
          <cell r="D475" t="str">
            <v>Tangible Asset - PFD</v>
          </cell>
          <cell r="E475">
            <v>0</v>
          </cell>
          <cell r="F475">
            <v>0</v>
          </cell>
          <cell r="G475">
            <v>0</v>
          </cell>
          <cell r="H475">
            <v>16501483</v>
          </cell>
          <cell r="I475">
            <v>0</v>
          </cell>
          <cell r="J475">
            <v>16501483</v>
          </cell>
          <cell r="K475">
            <v>0</v>
          </cell>
          <cell r="L475">
            <v>0</v>
          </cell>
          <cell r="M475">
            <v>0</v>
          </cell>
          <cell r="N475">
            <v>14761635</v>
          </cell>
          <cell r="O475">
            <v>0</v>
          </cell>
          <cell r="P475">
            <v>14761635</v>
          </cell>
        </row>
        <row r="476">
          <cell r="A476" t="str">
            <v>Provision for Depreciation Factory Building</v>
          </cell>
          <cell r="B476">
            <v>10</v>
          </cell>
          <cell r="C476" t="str">
            <v>Fixed Assets</v>
          </cell>
          <cell r="D476" t="str">
            <v>Tangible Asset - PFD</v>
          </cell>
          <cell r="E476">
            <v>0</v>
          </cell>
          <cell r="F476">
            <v>0</v>
          </cell>
          <cell r="G476">
            <v>0</v>
          </cell>
          <cell r="H476">
            <v>379192</v>
          </cell>
          <cell r="I476">
            <v>0</v>
          </cell>
          <cell r="J476">
            <v>379192</v>
          </cell>
          <cell r="K476">
            <v>0</v>
          </cell>
          <cell r="L476">
            <v>0</v>
          </cell>
          <cell r="M476">
            <v>0</v>
          </cell>
          <cell r="N476">
            <v>379192</v>
          </cell>
          <cell r="O476">
            <v>0</v>
          </cell>
          <cell r="P476">
            <v>379192</v>
          </cell>
        </row>
        <row r="477">
          <cell r="A477" t="str">
            <v>Provision For Depreciation Furniture &amp; Fixture</v>
          </cell>
          <cell r="B477">
            <v>10</v>
          </cell>
          <cell r="C477" t="str">
            <v>Fixed Assets</v>
          </cell>
          <cell r="D477" t="str">
            <v>Tangible Asset - PFD</v>
          </cell>
          <cell r="E477">
            <v>0</v>
          </cell>
          <cell r="F477">
            <v>0</v>
          </cell>
          <cell r="G477">
            <v>0</v>
          </cell>
          <cell r="H477">
            <v>1476352</v>
          </cell>
          <cell r="I477">
            <v>0</v>
          </cell>
          <cell r="J477">
            <v>1476352</v>
          </cell>
          <cell r="K477">
            <v>0</v>
          </cell>
          <cell r="L477">
            <v>0</v>
          </cell>
          <cell r="M477">
            <v>0</v>
          </cell>
          <cell r="N477">
            <v>1420188</v>
          </cell>
          <cell r="O477">
            <v>0</v>
          </cell>
          <cell r="P477">
            <v>1420188</v>
          </cell>
        </row>
        <row r="478">
          <cell r="A478" t="str">
            <v>Provision For Depreciation Office Equipment</v>
          </cell>
          <cell r="B478">
            <v>10</v>
          </cell>
          <cell r="C478" t="str">
            <v>Fixed Assets</v>
          </cell>
          <cell r="D478" t="str">
            <v>Tangible Asset - PFD</v>
          </cell>
          <cell r="E478">
            <v>0</v>
          </cell>
          <cell r="F478">
            <v>0</v>
          </cell>
          <cell r="G478">
            <v>0</v>
          </cell>
          <cell r="H478">
            <v>754646</v>
          </cell>
          <cell r="I478">
            <v>0</v>
          </cell>
          <cell r="J478">
            <v>754646</v>
          </cell>
          <cell r="K478">
            <v>0</v>
          </cell>
          <cell r="L478">
            <v>0</v>
          </cell>
          <cell r="M478">
            <v>0</v>
          </cell>
          <cell r="N478">
            <v>729742</v>
          </cell>
          <cell r="O478">
            <v>0</v>
          </cell>
          <cell r="P478">
            <v>729742</v>
          </cell>
        </row>
        <row r="479">
          <cell r="A479" t="str">
            <v>Provision For Depreciation Plant &amp; Machinery</v>
          </cell>
          <cell r="B479">
            <v>10</v>
          </cell>
          <cell r="C479" t="str">
            <v>Fixed Assets</v>
          </cell>
          <cell r="D479" t="str">
            <v>Tangible Asset - PFD</v>
          </cell>
          <cell r="E479">
            <v>0</v>
          </cell>
          <cell r="F479">
            <v>0</v>
          </cell>
          <cell r="G479">
            <v>0</v>
          </cell>
          <cell r="H479">
            <v>92463659</v>
          </cell>
          <cell r="I479">
            <v>0</v>
          </cell>
          <cell r="J479">
            <v>92463659</v>
          </cell>
          <cell r="K479">
            <v>0</v>
          </cell>
          <cell r="L479">
            <v>0</v>
          </cell>
          <cell r="M479">
            <v>0</v>
          </cell>
          <cell r="N479">
            <v>79329687</v>
          </cell>
          <cell r="O479">
            <v>0</v>
          </cell>
          <cell r="P479">
            <v>79329687</v>
          </cell>
        </row>
        <row r="480">
          <cell r="A480" t="str">
            <v>Provision For Depreciation Vehicle</v>
          </cell>
          <cell r="B480">
            <v>10</v>
          </cell>
          <cell r="C480" t="str">
            <v>Fixed Assets</v>
          </cell>
          <cell r="D480" t="str">
            <v>Tangible Asset - PFD</v>
          </cell>
          <cell r="E480">
            <v>0</v>
          </cell>
          <cell r="F480">
            <v>0</v>
          </cell>
          <cell r="G480">
            <v>0</v>
          </cell>
          <cell r="H480">
            <v>1478520</v>
          </cell>
          <cell r="I480">
            <v>0</v>
          </cell>
          <cell r="J480">
            <v>1478520</v>
          </cell>
          <cell r="K480">
            <v>0</v>
          </cell>
          <cell r="L480">
            <v>0</v>
          </cell>
          <cell r="M480">
            <v>0</v>
          </cell>
          <cell r="N480">
            <v>1238122</v>
          </cell>
          <cell r="O480">
            <v>0</v>
          </cell>
          <cell r="P480">
            <v>1238122</v>
          </cell>
        </row>
        <row r="481">
          <cell r="A481" t="str">
            <v>Provision for I.T, A.Y.2017-18</v>
          </cell>
          <cell r="B481">
            <v>12</v>
          </cell>
          <cell r="C481" t="str">
            <v>Long Term Loans &amp; Advances</v>
          </cell>
          <cell r="D481" t="str">
            <v>Advance Income Tax</v>
          </cell>
          <cell r="E481">
            <v>34285</v>
          </cell>
          <cell r="F481">
            <v>0</v>
          </cell>
          <cell r="G481">
            <v>34285</v>
          </cell>
          <cell r="H481">
            <v>0</v>
          </cell>
          <cell r="I481">
            <v>0</v>
          </cell>
          <cell r="J481">
            <v>0</v>
          </cell>
          <cell r="K481">
            <v>34285</v>
          </cell>
          <cell r="L481">
            <v>0</v>
          </cell>
          <cell r="M481">
            <v>34285</v>
          </cell>
          <cell r="N481">
            <v>0</v>
          </cell>
          <cell r="O481">
            <v>0</v>
          </cell>
          <cell r="P481">
            <v>0</v>
          </cell>
        </row>
        <row r="482">
          <cell r="A482" t="str">
            <v>Provision For I.T. A.Y, 2005-06</v>
          </cell>
          <cell r="B482">
            <v>12</v>
          </cell>
          <cell r="C482" t="str">
            <v>Long Term Loans &amp; Advances</v>
          </cell>
          <cell r="D482" t="str">
            <v>Advance Income Tax</v>
          </cell>
          <cell r="E482">
            <v>122153</v>
          </cell>
          <cell r="F482">
            <v>0</v>
          </cell>
          <cell r="G482">
            <v>122153</v>
          </cell>
          <cell r="H482">
            <v>0</v>
          </cell>
          <cell r="I482">
            <v>0</v>
          </cell>
          <cell r="J482">
            <v>0</v>
          </cell>
          <cell r="K482">
            <v>122153</v>
          </cell>
          <cell r="L482">
            <v>0</v>
          </cell>
          <cell r="M482">
            <v>122153</v>
          </cell>
          <cell r="N482">
            <v>0</v>
          </cell>
          <cell r="O482">
            <v>0</v>
          </cell>
          <cell r="P482">
            <v>0</v>
          </cell>
        </row>
        <row r="483">
          <cell r="A483" t="str">
            <v>Provision for I.T. A.Y, 2013-14</v>
          </cell>
          <cell r="B483">
            <v>12</v>
          </cell>
          <cell r="C483" t="str">
            <v>Long Term Loans &amp; Advances</v>
          </cell>
          <cell r="D483" t="str">
            <v>Advance Income Tax</v>
          </cell>
          <cell r="E483">
            <v>139678</v>
          </cell>
          <cell r="F483">
            <v>0</v>
          </cell>
          <cell r="G483">
            <v>139678</v>
          </cell>
          <cell r="H483">
            <v>0</v>
          </cell>
          <cell r="I483">
            <v>0</v>
          </cell>
          <cell r="J483">
            <v>0</v>
          </cell>
          <cell r="K483">
            <v>139678</v>
          </cell>
          <cell r="L483">
            <v>0</v>
          </cell>
          <cell r="M483">
            <v>139678</v>
          </cell>
          <cell r="N483">
            <v>0</v>
          </cell>
          <cell r="O483">
            <v>0</v>
          </cell>
          <cell r="P483">
            <v>0</v>
          </cell>
        </row>
        <row r="484">
          <cell r="A484" t="str">
            <v>Provision for I.T. A.Y. 2008-09</v>
          </cell>
          <cell r="B484">
            <v>12</v>
          </cell>
          <cell r="C484" t="str">
            <v>Long Term Loans &amp; Advances</v>
          </cell>
          <cell r="D484" t="str">
            <v>Advance Income Tax</v>
          </cell>
          <cell r="E484">
            <v>271788</v>
          </cell>
          <cell r="F484">
            <v>0</v>
          </cell>
          <cell r="G484">
            <v>271788</v>
          </cell>
          <cell r="H484">
            <v>0</v>
          </cell>
          <cell r="I484">
            <v>0</v>
          </cell>
          <cell r="J484">
            <v>0</v>
          </cell>
          <cell r="K484">
            <v>271788</v>
          </cell>
          <cell r="L484">
            <v>0</v>
          </cell>
          <cell r="M484">
            <v>271788</v>
          </cell>
          <cell r="N484">
            <v>0</v>
          </cell>
          <cell r="O484">
            <v>0</v>
          </cell>
          <cell r="P484">
            <v>0</v>
          </cell>
        </row>
        <row r="485">
          <cell r="A485" t="str">
            <v>Provision for Income Tax A.Y. 14-15</v>
          </cell>
          <cell r="B485">
            <v>12</v>
          </cell>
          <cell r="C485" t="str">
            <v>Long Term Loans &amp; Advances</v>
          </cell>
          <cell r="D485" t="str">
            <v>Advance Income Tax</v>
          </cell>
          <cell r="E485">
            <v>0</v>
          </cell>
          <cell r="F485">
            <v>0</v>
          </cell>
          <cell r="G485">
            <v>0</v>
          </cell>
          <cell r="H485">
            <v>0</v>
          </cell>
          <cell r="I485">
            <v>0</v>
          </cell>
          <cell r="J485">
            <v>0</v>
          </cell>
          <cell r="K485">
            <v>0</v>
          </cell>
          <cell r="L485">
            <v>0</v>
          </cell>
          <cell r="M485">
            <v>0</v>
          </cell>
          <cell r="N485">
            <v>0</v>
          </cell>
          <cell r="O485">
            <v>0</v>
          </cell>
          <cell r="P485">
            <v>0</v>
          </cell>
        </row>
        <row r="486">
          <cell r="A486" t="str">
            <v>Provision for Income Tax A.Y.15-16</v>
          </cell>
          <cell r="B486">
            <v>12</v>
          </cell>
          <cell r="C486" t="str">
            <v>Long Term Loans &amp; Advances</v>
          </cell>
          <cell r="D486" t="str">
            <v>Advance Income Tax</v>
          </cell>
          <cell r="E486">
            <v>0</v>
          </cell>
          <cell r="F486">
            <v>0</v>
          </cell>
          <cell r="G486">
            <v>0</v>
          </cell>
          <cell r="H486">
            <v>0</v>
          </cell>
          <cell r="I486">
            <v>0</v>
          </cell>
          <cell r="J486">
            <v>0</v>
          </cell>
          <cell r="K486">
            <v>0</v>
          </cell>
          <cell r="L486">
            <v>0</v>
          </cell>
          <cell r="M486">
            <v>0</v>
          </cell>
          <cell r="N486">
            <v>0</v>
          </cell>
          <cell r="O486">
            <v>0</v>
          </cell>
          <cell r="P486">
            <v>0</v>
          </cell>
        </row>
        <row r="487">
          <cell r="A487" t="str">
            <v>Provisions For Gratuity Payable</v>
          </cell>
          <cell r="B487">
            <v>9</v>
          </cell>
          <cell r="C487" t="str">
            <v>Short Term Provision</v>
          </cell>
          <cell r="D487" t="str">
            <v>Provision for Employee Benefit</v>
          </cell>
          <cell r="E487">
            <v>0</v>
          </cell>
          <cell r="F487">
            <v>0</v>
          </cell>
          <cell r="G487">
            <v>0</v>
          </cell>
          <cell r="H487">
            <v>3212027.7</v>
          </cell>
          <cell r="I487">
            <v>0</v>
          </cell>
          <cell r="J487">
            <v>3212027.7</v>
          </cell>
          <cell r="K487">
            <v>0</v>
          </cell>
          <cell r="L487">
            <v>0</v>
          </cell>
          <cell r="M487">
            <v>0</v>
          </cell>
          <cell r="N487">
            <v>3142182.7</v>
          </cell>
          <cell r="O487">
            <v>0</v>
          </cell>
          <cell r="P487">
            <v>3142182.7</v>
          </cell>
        </row>
        <row r="488">
          <cell r="A488" t="str">
            <v>PSI Under Sales Tax Deferal Receivable</v>
          </cell>
          <cell r="B488">
            <v>12</v>
          </cell>
          <cell r="C488" t="str">
            <v>Long Term Loans &amp; Advances</v>
          </cell>
          <cell r="D488" t="str">
            <v>Balance with Government Authorities</v>
          </cell>
          <cell r="E488">
            <v>12216191</v>
          </cell>
          <cell r="F488">
            <v>0</v>
          </cell>
          <cell r="G488">
            <v>12216191</v>
          </cell>
          <cell r="H488">
            <v>0</v>
          </cell>
          <cell r="I488">
            <v>0</v>
          </cell>
          <cell r="J488">
            <v>0</v>
          </cell>
          <cell r="K488">
            <v>10799666</v>
          </cell>
          <cell r="L488">
            <v>0</v>
          </cell>
          <cell r="M488">
            <v>10799666</v>
          </cell>
          <cell r="N488">
            <v>0</v>
          </cell>
          <cell r="O488">
            <v>0</v>
          </cell>
          <cell r="P488">
            <v>0</v>
          </cell>
        </row>
        <row r="489">
          <cell r="A489" t="str">
            <v>Punamchand &amp; Sons ( Jaliwala)</v>
          </cell>
          <cell r="B489">
            <v>7</v>
          </cell>
          <cell r="C489" t="str">
            <v>Trade Payables</v>
          </cell>
          <cell r="D489" t="str">
            <v>Trade Payables</v>
          </cell>
          <cell r="E489">
            <v>0</v>
          </cell>
          <cell r="F489">
            <v>0</v>
          </cell>
          <cell r="G489">
            <v>0</v>
          </cell>
          <cell r="H489">
            <v>0</v>
          </cell>
          <cell r="I489">
            <v>0</v>
          </cell>
          <cell r="J489">
            <v>0</v>
          </cell>
          <cell r="K489">
            <v>0</v>
          </cell>
          <cell r="L489">
            <v>0</v>
          </cell>
          <cell r="M489">
            <v>0</v>
          </cell>
          <cell r="N489">
            <v>83195</v>
          </cell>
          <cell r="O489">
            <v>0</v>
          </cell>
          <cell r="P489">
            <v>83195</v>
          </cell>
        </row>
        <row r="490">
          <cell r="A490" t="str">
            <v>Punjab Machine Tools</v>
          </cell>
          <cell r="B490">
            <v>7</v>
          </cell>
          <cell r="C490" t="str">
            <v>Trade Payables</v>
          </cell>
          <cell r="D490" t="str">
            <v>Trade Payables</v>
          </cell>
          <cell r="E490">
            <v>0</v>
          </cell>
          <cell r="F490">
            <v>0</v>
          </cell>
          <cell r="G490">
            <v>0</v>
          </cell>
          <cell r="H490">
            <v>26432</v>
          </cell>
          <cell r="I490">
            <v>0</v>
          </cell>
          <cell r="J490">
            <v>26432</v>
          </cell>
          <cell r="K490">
            <v>0</v>
          </cell>
          <cell r="L490">
            <v>0</v>
          </cell>
          <cell r="M490">
            <v>0</v>
          </cell>
          <cell r="N490">
            <v>49210</v>
          </cell>
          <cell r="O490">
            <v>0</v>
          </cell>
          <cell r="P490">
            <v>49210</v>
          </cell>
        </row>
        <row r="491">
          <cell r="A491" t="str">
            <v>Purchase Expenses : Chemical</v>
          </cell>
          <cell r="B491">
            <v>22</v>
          </cell>
          <cell r="C491" t="str">
            <v>Raw Material Consumed</v>
          </cell>
          <cell r="D491" t="str">
            <v>Raw Material Purchase</v>
          </cell>
          <cell r="E491">
            <v>593738</v>
          </cell>
          <cell r="F491">
            <v>0</v>
          </cell>
          <cell r="G491">
            <v>593738</v>
          </cell>
          <cell r="H491">
            <v>0</v>
          </cell>
          <cell r="I491">
            <v>0</v>
          </cell>
          <cell r="J491">
            <v>0</v>
          </cell>
          <cell r="K491">
            <v>2499845</v>
          </cell>
          <cell r="L491">
            <v>0</v>
          </cell>
          <cell r="M491">
            <v>2499845</v>
          </cell>
          <cell r="N491">
            <v>0</v>
          </cell>
          <cell r="O491">
            <v>0</v>
          </cell>
          <cell r="P491">
            <v>0</v>
          </cell>
        </row>
        <row r="492">
          <cell r="A492" t="str">
            <v>Purchase Expenses : Coal</v>
          </cell>
          <cell r="B492">
            <v>26</v>
          </cell>
          <cell r="C492" t="str">
            <v>Other Expenses</v>
          </cell>
          <cell r="D492" t="str">
            <v>Manufacturing Expenses - Power &amp; Fuel Consumed</v>
          </cell>
          <cell r="E492">
            <v>9789530</v>
          </cell>
          <cell r="F492">
            <v>0</v>
          </cell>
          <cell r="G492">
            <v>9789530</v>
          </cell>
          <cell r="H492">
            <v>0</v>
          </cell>
          <cell r="I492">
            <v>0</v>
          </cell>
          <cell r="J492">
            <v>0</v>
          </cell>
          <cell r="K492">
            <v>7296726</v>
          </cell>
          <cell r="L492">
            <v>0</v>
          </cell>
          <cell r="M492">
            <v>7296726</v>
          </cell>
          <cell r="N492">
            <v>0</v>
          </cell>
          <cell r="O492">
            <v>0</v>
          </cell>
          <cell r="P492">
            <v>0</v>
          </cell>
        </row>
        <row r="493">
          <cell r="A493" t="str">
            <v>Purchase Expenses : Occ</v>
          </cell>
          <cell r="B493">
            <v>22</v>
          </cell>
          <cell r="C493" t="str">
            <v>Raw Material Consumed</v>
          </cell>
          <cell r="D493" t="str">
            <v>Raw Material Purchase</v>
          </cell>
          <cell r="E493">
            <v>570000</v>
          </cell>
          <cell r="F493">
            <v>0</v>
          </cell>
          <cell r="G493">
            <v>570000</v>
          </cell>
          <cell r="H493">
            <v>0</v>
          </cell>
          <cell r="I493">
            <v>0</v>
          </cell>
          <cell r="J493">
            <v>0</v>
          </cell>
          <cell r="K493">
            <v>5508.97</v>
          </cell>
          <cell r="L493">
            <v>0</v>
          </cell>
          <cell r="M493">
            <v>5508.97</v>
          </cell>
          <cell r="N493">
            <v>0</v>
          </cell>
          <cell r="O493">
            <v>0</v>
          </cell>
          <cell r="P493">
            <v>0</v>
          </cell>
        </row>
        <row r="494">
          <cell r="A494" t="str">
            <v>Purchase Expenses : Packing Material</v>
          </cell>
          <cell r="B494">
            <v>26</v>
          </cell>
          <cell r="C494" t="str">
            <v>Other Expenses</v>
          </cell>
          <cell r="D494" t="str">
            <v>Manufacturing Expenses - Packing Material Consumed</v>
          </cell>
          <cell r="E494">
            <v>0</v>
          </cell>
          <cell r="F494">
            <v>0</v>
          </cell>
          <cell r="G494">
            <v>0</v>
          </cell>
          <cell r="H494">
            <v>0</v>
          </cell>
          <cell r="I494">
            <v>0</v>
          </cell>
          <cell r="J494">
            <v>0</v>
          </cell>
          <cell r="K494">
            <v>2736</v>
          </cell>
          <cell r="L494">
            <v>0</v>
          </cell>
          <cell r="M494">
            <v>2736</v>
          </cell>
          <cell r="N494">
            <v>0</v>
          </cell>
          <cell r="O494">
            <v>0</v>
          </cell>
          <cell r="P494">
            <v>0</v>
          </cell>
        </row>
        <row r="495">
          <cell r="A495" t="str">
            <v>Purchase Expenses : Waste Paper</v>
          </cell>
          <cell r="B495">
            <v>22</v>
          </cell>
          <cell r="C495" t="str">
            <v>Raw Material Consumed</v>
          </cell>
          <cell r="D495" t="str">
            <v>Raw Material Purchase</v>
          </cell>
          <cell r="E495">
            <v>107000</v>
          </cell>
          <cell r="F495">
            <v>0</v>
          </cell>
          <cell r="G495">
            <v>107000</v>
          </cell>
          <cell r="H495">
            <v>0</v>
          </cell>
          <cell r="I495">
            <v>0</v>
          </cell>
          <cell r="J495">
            <v>0</v>
          </cell>
          <cell r="K495">
            <v>2400</v>
          </cell>
          <cell r="L495">
            <v>0</v>
          </cell>
          <cell r="M495">
            <v>2400</v>
          </cell>
          <cell r="N495">
            <v>0</v>
          </cell>
          <cell r="O495">
            <v>0</v>
          </cell>
          <cell r="P495">
            <v>0</v>
          </cell>
        </row>
        <row r="496">
          <cell r="A496" t="str">
            <v>Purchase Import in Transit</v>
          </cell>
          <cell r="B496">
            <v>22</v>
          </cell>
          <cell r="C496" t="str">
            <v>Raw Material Consumed</v>
          </cell>
          <cell r="D496" t="str">
            <v>Raw Material Purchase</v>
          </cell>
          <cell r="E496">
            <v>0</v>
          </cell>
          <cell r="F496">
            <v>0</v>
          </cell>
          <cell r="G496">
            <v>0</v>
          </cell>
          <cell r="H496">
            <v>0</v>
          </cell>
          <cell r="I496">
            <v>0</v>
          </cell>
          <cell r="J496">
            <v>0</v>
          </cell>
          <cell r="K496">
            <v>4142911</v>
          </cell>
          <cell r="L496">
            <v>0</v>
          </cell>
          <cell r="M496">
            <v>4142911</v>
          </cell>
          <cell r="N496">
            <v>0</v>
          </cell>
          <cell r="O496">
            <v>0</v>
          </cell>
          <cell r="P496">
            <v>0</v>
          </cell>
        </row>
        <row r="497">
          <cell r="A497" t="str">
            <v>Purchase Of Store</v>
          </cell>
          <cell r="B497">
            <v>26</v>
          </cell>
          <cell r="C497" t="str">
            <v>Other Expenses</v>
          </cell>
          <cell r="D497" t="str">
            <v>Manufacturing Expenses - Stores &amp; Spares Consumed</v>
          </cell>
          <cell r="E497">
            <v>9155866.8599999994</v>
          </cell>
          <cell r="F497">
            <v>0</v>
          </cell>
          <cell r="G497">
            <v>9155866.8599999994</v>
          </cell>
          <cell r="H497">
            <v>0</v>
          </cell>
          <cell r="I497">
            <v>0</v>
          </cell>
          <cell r="J497">
            <v>0</v>
          </cell>
          <cell r="K497">
            <v>8891025.9000000004</v>
          </cell>
          <cell r="L497">
            <v>0</v>
          </cell>
          <cell r="M497">
            <v>8891025.9000000004</v>
          </cell>
          <cell r="N497">
            <v>0</v>
          </cell>
          <cell r="O497">
            <v>0</v>
          </cell>
          <cell r="P497">
            <v>0</v>
          </cell>
        </row>
        <row r="498">
          <cell r="A498" t="str">
            <v>R. R. Controls</v>
          </cell>
          <cell r="B498">
            <v>8</v>
          </cell>
          <cell r="C498" t="str">
            <v>Other Current Liabilities</v>
          </cell>
          <cell r="D498" t="str">
            <v>Trade Payables for capital goods</v>
          </cell>
          <cell r="E498">
            <v>0</v>
          </cell>
          <cell r="F498">
            <v>0</v>
          </cell>
          <cell r="G498">
            <v>0</v>
          </cell>
          <cell r="H498">
            <v>0</v>
          </cell>
          <cell r="I498">
            <v>0</v>
          </cell>
          <cell r="J498">
            <v>0</v>
          </cell>
          <cell r="K498">
            <v>0</v>
          </cell>
          <cell r="L498">
            <v>0</v>
          </cell>
          <cell r="M498">
            <v>0</v>
          </cell>
          <cell r="N498">
            <v>9980</v>
          </cell>
          <cell r="O498">
            <v>0</v>
          </cell>
          <cell r="P498">
            <v>9980</v>
          </cell>
        </row>
        <row r="499">
          <cell r="A499" t="str">
            <v>Innovative Solutions &amp; System</v>
          </cell>
          <cell r="B499">
            <v>8</v>
          </cell>
          <cell r="C499" t="str">
            <v>Other Current Liabilities</v>
          </cell>
          <cell r="D499" t="str">
            <v>Trade Payables for capital goods</v>
          </cell>
          <cell r="E499">
            <v>635</v>
          </cell>
          <cell r="F499">
            <v>0</v>
          </cell>
          <cell r="G499">
            <v>635</v>
          </cell>
          <cell r="H499">
            <v>0</v>
          </cell>
          <cell r="I499">
            <v>0</v>
          </cell>
          <cell r="J499">
            <v>0</v>
          </cell>
          <cell r="K499">
            <v>0</v>
          </cell>
          <cell r="L499">
            <v>0</v>
          </cell>
          <cell r="M499">
            <v>0</v>
          </cell>
          <cell r="N499">
            <v>0</v>
          </cell>
          <cell r="O499">
            <v>0</v>
          </cell>
          <cell r="P499">
            <v>0</v>
          </cell>
        </row>
        <row r="500">
          <cell r="A500" t="str">
            <v>R.C.CORRUPACK PVT. LTD.</v>
          </cell>
          <cell r="B500">
            <v>15</v>
          </cell>
          <cell r="C500" t="str">
            <v>Trade Receivables</v>
          </cell>
          <cell r="D500" t="str">
            <v>Other Debts</v>
          </cell>
          <cell r="E500">
            <v>2558371</v>
          </cell>
          <cell r="F500">
            <v>0</v>
          </cell>
          <cell r="G500">
            <v>2558371</v>
          </cell>
          <cell r="H500">
            <v>0</v>
          </cell>
          <cell r="I500">
            <v>0</v>
          </cell>
          <cell r="J500">
            <v>0</v>
          </cell>
          <cell r="K500">
            <v>0</v>
          </cell>
          <cell r="L500">
            <v>0</v>
          </cell>
          <cell r="M500">
            <v>0</v>
          </cell>
          <cell r="N500">
            <v>0</v>
          </cell>
          <cell r="O500">
            <v>0</v>
          </cell>
          <cell r="P500">
            <v>0</v>
          </cell>
        </row>
        <row r="501">
          <cell r="A501" t="str">
            <v>R.S. Kraft Papers Ltd</v>
          </cell>
          <cell r="B501">
            <v>15</v>
          </cell>
          <cell r="C501" t="str">
            <v>Trade Receivables</v>
          </cell>
          <cell r="D501" t="str">
            <v>Other Debts</v>
          </cell>
          <cell r="E501">
            <v>22989382</v>
          </cell>
          <cell r="F501">
            <v>0</v>
          </cell>
          <cell r="G501">
            <v>22989382</v>
          </cell>
          <cell r="H501">
            <v>0</v>
          </cell>
          <cell r="I501">
            <v>0</v>
          </cell>
          <cell r="J501">
            <v>0</v>
          </cell>
          <cell r="K501">
            <v>20109440</v>
          </cell>
          <cell r="L501">
            <v>0</v>
          </cell>
          <cell r="M501">
            <v>20109440</v>
          </cell>
          <cell r="N501">
            <v>0</v>
          </cell>
          <cell r="O501">
            <v>0</v>
          </cell>
          <cell r="P501">
            <v>0</v>
          </cell>
        </row>
        <row r="502">
          <cell r="A502" t="str">
            <v>R.A. KRAFT PAPERS LIMITED,</v>
          </cell>
          <cell r="B502">
            <v>15</v>
          </cell>
          <cell r="C502" t="str">
            <v>Trade Receivables</v>
          </cell>
          <cell r="D502" t="str">
            <v>Other Debts</v>
          </cell>
          <cell r="E502">
            <v>553617</v>
          </cell>
          <cell r="F502">
            <v>0</v>
          </cell>
          <cell r="G502">
            <v>553617</v>
          </cell>
          <cell r="H502">
            <v>0</v>
          </cell>
          <cell r="I502">
            <v>0</v>
          </cell>
          <cell r="J502">
            <v>0</v>
          </cell>
          <cell r="K502">
            <v>0</v>
          </cell>
          <cell r="L502">
            <v>0</v>
          </cell>
          <cell r="M502">
            <v>0</v>
          </cell>
          <cell r="N502">
            <v>0</v>
          </cell>
          <cell r="O502">
            <v>0</v>
          </cell>
          <cell r="P502">
            <v>0</v>
          </cell>
        </row>
        <row r="503">
          <cell r="A503" t="str">
            <v>Raghav Enterprises</v>
          </cell>
          <cell r="B503">
            <v>7</v>
          </cell>
          <cell r="C503" t="str">
            <v>Trade Payables</v>
          </cell>
          <cell r="D503" t="str">
            <v>Trade Payables</v>
          </cell>
          <cell r="E503">
            <v>0</v>
          </cell>
          <cell r="F503">
            <v>0</v>
          </cell>
          <cell r="G503">
            <v>0</v>
          </cell>
          <cell r="H503">
            <v>8142548.5</v>
          </cell>
          <cell r="I503">
            <v>0</v>
          </cell>
          <cell r="J503">
            <v>8142548.5</v>
          </cell>
          <cell r="K503">
            <v>0</v>
          </cell>
          <cell r="L503">
            <v>0</v>
          </cell>
          <cell r="M503">
            <v>0</v>
          </cell>
          <cell r="N503">
            <v>6496829.5</v>
          </cell>
          <cell r="O503">
            <v>0</v>
          </cell>
          <cell r="P503">
            <v>6496829.5</v>
          </cell>
        </row>
        <row r="504">
          <cell r="A504" t="str">
            <v>Raghav Industrial Products Unit -II</v>
          </cell>
          <cell r="B504">
            <v>7</v>
          </cell>
          <cell r="C504" t="str">
            <v>Trade Payables</v>
          </cell>
          <cell r="D504" t="str">
            <v>Trade Payables - Others</v>
          </cell>
          <cell r="E504">
            <v>0</v>
          </cell>
          <cell r="F504">
            <v>0</v>
          </cell>
          <cell r="G504">
            <v>0</v>
          </cell>
          <cell r="H504">
            <v>0</v>
          </cell>
          <cell r="I504">
            <v>0</v>
          </cell>
          <cell r="J504">
            <v>0</v>
          </cell>
          <cell r="K504">
            <v>0</v>
          </cell>
          <cell r="L504">
            <v>0</v>
          </cell>
          <cell r="M504">
            <v>0</v>
          </cell>
          <cell r="N504">
            <v>0</v>
          </cell>
          <cell r="O504">
            <v>0</v>
          </cell>
          <cell r="P504">
            <v>0</v>
          </cell>
        </row>
        <row r="505">
          <cell r="A505" t="str">
            <v>Raghuvir Parmar</v>
          </cell>
          <cell r="B505">
            <v>12</v>
          </cell>
          <cell r="C505" t="str">
            <v>Long Term Loans &amp; Advances</v>
          </cell>
          <cell r="D505" t="str">
            <v>Loans and Advances to Employees</v>
          </cell>
          <cell r="E505">
            <v>0</v>
          </cell>
          <cell r="F505">
            <v>0</v>
          </cell>
          <cell r="G505">
            <v>0</v>
          </cell>
          <cell r="H505">
            <v>0</v>
          </cell>
          <cell r="I505">
            <v>0</v>
          </cell>
          <cell r="J505">
            <v>0</v>
          </cell>
          <cell r="K505">
            <v>3000</v>
          </cell>
          <cell r="L505">
            <v>0</v>
          </cell>
          <cell r="M505">
            <v>3000</v>
          </cell>
          <cell r="N505">
            <v>0</v>
          </cell>
          <cell r="O505">
            <v>0</v>
          </cell>
          <cell r="P505">
            <v>0</v>
          </cell>
        </row>
        <row r="506">
          <cell r="A506" t="str">
            <v>RAHUL PAPER AGENCY</v>
          </cell>
          <cell r="B506">
            <v>15</v>
          </cell>
          <cell r="C506" t="str">
            <v>Trade Receivables</v>
          </cell>
          <cell r="D506" t="str">
            <v>Other Debts</v>
          </cell>
          <cell r="E506">
            <v>0</v>
          </cell>
          <cell r="F506">
            <v>0</v>
          </cell>
          <cell r="G506">
            <v>0</v>
          </cell>
          <cell r="H506">
            <v>0</v>
          </cell>
          <cell r="I506">
            <v>0</v>
          </cell>
          <cell r="J506">
            <v>0</v>
          </cell>
          <cell r="K506">
            <v>0</v>
          </cell>
          <cell r="L506">
            <v>0</v>
          </cell>
          <cell r="M506">
            <v>0</v>
          </cell>
          <cell r="N506">
            <v>0</v>
          </cell>
          <cell r="O506">
            <v>0</v>
          </cell>
          <cell r="P506">
            <v>0</v>
          </cell>
        </row>
        <row r="507">
          <cell r="A507" t="str">
            <v>Rajesh Gas Agencies</v>
          </cell>
          <cell r="B507">
            <v>7</v>
          </cell>
          <cell r="C507" t="str">
            <v>Trade Payables</v>
          </cell>
          <cell r="D507" t="str">
            <v>Trade Payables</v>
          </cell>
          <cell r="E507">
            <v>0</v>
          </cell>
          <cell r="F507">
            <v>0</v>
          </cell>
          <cell r="G507">
            <v>0</v>
          </cell>
          <cell r="H507">
            <v>1495</v>
          </cell>
          <cell r="I507">
            <v>0</v>
          </cell>
          <cell r="J507">
            <v>1495</v>
          </cell>
          <cell r="K507">
            <v>0</v>
          </cell>
          <cell r="L507">
            <v>0</v>
          </cell>
          <cell r="M507">
            <v>0</v>
          </cell>
          <cell r="N507">
            <v>1495</v>
          </cell>
          <cell r="O507">
            <v>0</v>
          </cell>
          <cell r="P507">
            <v>1495</v>
          </cell>
        </row>
        <row r="508">
          <cell r="A508" t="str">
            <v>Rajiv D. Behal</v>
          </cell>
          <cell r="B508">
            <v>4</v>
          </cell>
          <cell r="C508" t="str">
            <v>Long Term Borrowings</v>
          </cell>
          <cell r="D508" t="str">
            <v>Unsecured-From Related Party</v>
          </cell>
          <cell r="E508">
            <v>0</v>
          </cell>
          <cell r="F508">
            <v>0</v>
          </cell>
          <cell r="G508">
            <v>0</v>
          </cell>
          <cell r="H508">
            <v>0</v>
          </cell>
          <cell r="I508">
            <v>0</v>
          </cell>
          <cell r="J508">
            <v>0</v>
          </cell>
          <cell r="K508">
            <v>0</v>
          </cell>
          <cell r="L508">
            <v>0</v>
          </cell>
          <cell r="M508">
            <v>0</v>
          </cell>
          <cell r="N508">
            <v>0</v>
          </cell>
          <cell r="O508">
            <v>0</v>
          </cell>
          <cell r="P508">
            <v>0</v>
          </cell>
        </row>
        <row r="509">
          <cell r="A509" t="str">
            <v>RAMKRISHNA PAPER MART</v>
          </cell>
          <cell r="B509">
            <v>7</v>
          </cell>
          <cell r="C509" t="str">
            <v>Trade Payables</v>
          </cell>
          <cell r="D509" t="str">
            <v>Trade Payables</v>
          </cell>
          <cell r="E509">
            <v>0</v>
          </cell>
          <cell r="F509">
            <v>0</v>
          </cell>
          <cell r="G509">
            <v>0</v>
          </cell>
          <cell r="H509">
            <v>0</v>
          </cell>
          <cell r="I509">
            <v>0</v>
          </cell>
          <cell r="J509">
            <v>0</v>
          </cell>
          <cell r="K509">
            <v>0</v>
          </cell>
          <cell r="L509">
            <v>0</v>
          </cell>
          <cell r="M509">
            <v>0</v>
          </cell>
          <cell r="N509">
            <v>51975</v>
          </cell>
          <cell r="O509">
            <v>0</v>
          </cell>
          <cell r="P509">
            <v>51975</v>
          </cell>
        </row>
        <row r="510">
          <cell r="A510" t="str">
            <v>Rate Difference : Coal Purchase</v>
          </cell>
          <cell r="B510">
            <v>26</v>
          </cell>
          <cell r="C510" t="str">
            <v>Other Expenses</v>
          </cell>
          <cell r="D510" t="str">
            <v>Manufacturing Expenses - Power &amp; Fuel Consumed</v>
          </cell>
          <cell r="E510">
            <v>0</v>
          </cell>
          <cell r="F510">
            <v>0</v>
          </cell>
          <cell r="G510">
            <v>0</v>
          </cell>
          <cell r="H510">
            <v>0</v>
          </cell>
          <cell r="I510">
            <v>0</v>
          </cell>
          <cell r="J510">
            <v>0</v>
          </cell>
          <cell r="K510">
            <v>0</v>
          </cell>
          <cell r="L510">
            <v>0</v>
          </cell>
          <cell r="M510">
            <v>0</v>
          </cell>
          <cell r="N510">
            <v>38712</v>
          </cell>
          <cell r="O510">
            <v>0</v>
          </cell>
          <cell r="P510">
            <v>38712</v>
          </cell>
        </row>
        <row r="511">
          <cell r="A511" t="str">
            <v>Rates &amp; Taxes</v>
          </cell>
          <cell r="B511">
            <v>26</v>
          </cell>
          <cell r="C511" t="str">
            <v>Other Expenses</v>
          </cell>
          <cell r="D511" t="str">
            <v>Establishment Expenses-Rates &amp; Taxes</v>
          </cell>
          <cell r="E511">
            <v>154260</v>
          </cell>
          <cell r="F511">
            <v>0</v>
          </cell>
          <cell r="G511">
            <v>154260</v>
          </cell>
          <cell r="H511">
            <v>0</v>
          </cell>
          <cell r="I511">
            <v>0</v>
          </cell>
          <cell r="J511">
            <v>0</v>
          </cell>
          <cell r="K511">
            <v>154717</v>
          </cell>
          <cell r="L511">
            <v>0</v>
          </cell>
          <cell r="M511">
            <v>154717</v>
          </cell>
          <cell r="N511">
            <v>0</v>
          </cell>
          <cell r="O511">
            <v>0</v>
          </cell>
          <cell r="P511">
            <v>0</v>
          </cell>
        </row>
        <row r="512">
          <cell r="A512" t="str">
            <v>Ravi Sarode</v>
          </cell>
          <cell r="B512">
            <v>12</v>
          </cell>
          <cell r="C512" t="str">
            <v>Long Term Loans &amp; Advances</v>
          </cell>
          <cell r="D512" t="str">
            <v>Loans and Advances to Employees</v>
          </cell>
          <cell r="E512">
            <v>0</v>
          </cell>
          <cell r="F512">
            <v>0</v>
          </cell>
          <cell r="G512">
            <v>0</v>
          </cell>
          <cell r="H512">
            <v>0</v>
          </cell>
          <cell r="I512">
            <v>0</v>
          </cell>
          <cell r="J512">
            <v>0</v>
          </cell>
          <cell r="K512">
            <v>0</v>
          </cell>
          <cell r="L512">
            <v>0</v>
          </cell>
          <cell r="M512">
            <v>0</v>
          </cell>
          <cell r="N512">
            <v>0</v>
          </cell>
          <cell r="O512">
            <v>0</v>
          </cell>
          <cell r="P512">
            <v>0</v>
          </cell>
        </row>
        <row r="513">
          <cell r="A513" t="str">
            <v>Ravi Trading Company</v>
          </cell>
          <cell r="B513">
            <v>7</v>
          </cell>
          <cell r="C513" t="str">
            <v>Trade Payables</v>
          </cell>
          <cell r="D513" t="str">
            <v>Trade Payables</v>
          </cell>
          <cell r="E513">
            <v>0</v>
          </cell>
          <cell r="F513">
            <v>0</v>
          </cell>
          <cell r="G513">
            <v>0</v>
          </cell>
          <cell r="H513">
            <v>0</v>
          </cell>
          <cell r="I513">
            <v>0</v>
          </cell>
          <cell r="J513">
            <v>0</v>
          </cell>
          <cell r="K513">
            <v>0</v>
          </cell>
          <cell r="L513">
            <v>0</v>
          </cell>
          <cell r="M513">
            <v>0</v>
          </cell>
          <cell r="N513">
            <v>55544</v>
          </cell>
          <cell r="O513">
            <v>0</v>
          </cell>
          <cell r="P513">
            <v>55544</v>
          </cell>
        </row>
        <row r="514">
          <cell r="A514" t="str">
            <v>Ravindra Kumbhare</v>
          </cell>
          <cell r="B514">
            <v>12</v>
          </cell>
          <cell r="C514" t="str">
            <v>Long Term Loans &amp; Advances</v>
          </cell>
          <cell r="D514" t="str">
            <v>Loans and Advances to Employees</v>
          </cell>
          <cell r="E514">
            <v>2000</v>
          </cell>
          <cell r="F514">
            <v>0</v>
          </cell>
          <cell r="G514">
            <v>2000</v>
          </cell>
          <cell r="H514">
            <v>0</v>
          </cell>
          <cell r="I514">
            <v>0</v>
          </cell>
          <cell r="J514">
            <v>0</v>
          </cell>
          <cell r="K514">
            <v>0</v>
          </cell>
          <cell r="L514">
            <v>0</v>
          </cell>
          <cell r="M514">
            <v>0</v>
          </cell>
          <cell r="N514">
            <v>0</v>
          </cell>
          <cell r="O514">
            <v>0</v>
          </cell>
          <cell r="P514">
            <v>0</v>
          </cell>
        </row>
        <row r="515">
          <cell r="A515" t="str">
            <v>Raw Material Sorting Charges</v>
          </cell>
          <cell r="B515">
            <v>26</v>
          </cell>
          <cell r="C515" t="str">
            <v>Other Expenses</v>
          </cell>
          <cell r="D515" t="str">
            <v>Manufacturin Expenses - RM Sorting Charges</v>
          </cell>
          <cell r="E515">
            <v>4167429</v>
          </cell>
          <cell r="F515">
            <v>0</v>
          </cell>
          <cell r="G515">
            <v>4167429</v>
          </cell>
          <cell r="H515">
            <v>0</v>
          </cell>
          <cell r="I515">
            <v>0</v>
          </cell>
          <cell r="J515">
            <v>0</v>
          </cell>
          <cell r="K515">
            <v>4086715</v>
          </cell>
          <cell r="L515">
            <v>0</v>
          </cell>
          <cell r="M515">
            <v>4086715</v>
          </cell>
          <cell r="N515">
            <v>0</v>
          </cell>
          <cell r="O515">
            <v>0</v>
          </cell>
          <cell r="P515">
            <v>0</v>
          </cell>
        </row>
        <row r="516">
          <cell r="A516" t="str">
            <v>RCM CGST PAYABLE</v>
          </cell>
          <cell r="B516">
            <v>8</v>
          </cell>
          <cell r="C516" t="str">
            <v>Other Current Liabilities</v>
          </cell>
          <cell r="D516" t="str">
            <v>Statutory Dues</v>
          </cell>
          <cell r="E516">
            <v>0</v>
          </cell>
          <cell r="F516">
            <v>0</v>
          </cell>
          <cell r="G516">
            <v>0</v>
          </cell>
          <cell r="H516">
            <v>86133.93</v>
          </cell>
          <cell r="I516">
            <v>0</v>
          </cell>
          <cell r="J516">
            <v>86133.93</v>
          </cell>
          <cell r="K516">
            <v>0</v>
          </cell>
          <cell r="L516">
            <v>0</v>
          </cell>
          <cell r="M516">
            <v>0</v>
          </cell>
          <cell r="N516">
            <v>30618.93</v>
          </cell>
          <cell r="O516">
            <v>0</v>
          </cell>
          <cell r="P516">
            <v>30618.93</v>
          </cell>
        </row>
        <row r="517">
          <cell r="A517" t="str">
            <v>RCM IGST PAYABLE</v>
          </cell>
          <cell r="B517">
            <v>8</v>
          </cell>
          <cell r="C517" t="str">
            <v>Other Current Liabilities</v>
          </cell>
          <cell r="D517" t="str">
            <v>Statutory Dues</v>
          </cell>
          <cell r="E517">
            <v>0</v>
          </cell>
          <cell r="F517">
            <v>0</v>
          </cell>
          <cell r="G517">
            <v>0</v>
          </cell>
          <cell r="H517">
            <v>105913.12</v>
          </cell>
          <cell r="I517">
            <v>0</v>
          </cell>
          <cell r="J517">
            <v>105913.12</v>
          </cell>
          <cell r="K517">
            <v>0</v>
          </cell>
          <cell r="L517">
            <v>0</v>
          </cell>
          <cell r="M517">
            <v>0</v>
          </cell>
          <cell r="N517">
            <v>38005.120000000003</v>
          </cell>
          <cell r="O517">
            <v>0</v>
          </cell>
          <cell r="P517">
            <v>38005.120000000003</v>
          </cell>
        </row>
        <row r="518">
          <cell r="A518" t="str">
            <v>RCM SGST PAYABLE</v>
          </cell>
          <cell r="B518">
            <v>8</v>
          </cell>
          <cell r="C518" t="str">
            <v>Other Current Liabilities</v>
          </cell>
          <cell r="D518" t="str">
            <v>Statutory Dues</v>
          </cell>
          <cell r="E518">
            <v>0</v>
          </cell>
          <cell r="F518">
            <v>0</v>
          </cell>
          <cell r="G518">
            <v>0</v>
          </cell>
          <cell r="H518">
            <v>66503.929999999993</v>
          </cell>
          <cell r="I518">
            <v>0</v>
          </cell>
          <cell r="J518">
            <v>66503.929999999993</v>
          </cell>
          <cell r="K518">
            <v>0</v>
          </cell>
          <cell r="L518">
            <v>0</v>
          </cell>
          <cell r="M518">
            <v>0</v>
          </cell>
          <cell r="N518">
            <v>30618.93</v>
          </cell>
          <cell r="O518">
            <v>0</v>
          </cell>
          <cell r="P518">
            <v>30618.93</v>
          </cell>
        </row>
        <row r="519">
          <cell r="A519" t="str">
            <v>Remuneration To Directors</v>
          </cell>
          <cell r="B519">
            <v>24</v>
          </cell>
          <cell r="C519" t="str">
            <v>Employee Benefit Expenses</v>
          </cell>
          <cell r="D519" t="str">
            <v>Salary &amp; Wages</v>
          </cell>
          <cell r="E519">
            <v>4800000</v>
          </cell>
          <cell r="F519">
            <v>0</v>
          </cell>
          <cell r="G519">
            <v>4800000</v>
          </cell>
          <cell r="H519">
            <v>0</v>
          </cell>
          <cell r="I519">
            <v>0</v>
          </cell>
          <cell r="J519">
            <v>0</v>
          </cell>
          <cell r="K519">
            <v>4573846</v>
          </cell>
          <cell r="L519">
            <v>0</v>
          </cell>
          <cell r="M519">
            <v>4573846</v>
          </cell>
          <cell r="N519">
            <v>0</v>
          </cell>
          <cell r="O519">
            <v>0</v>
          </cell>
          <cell r="P519">
            <v>0</v>
          </cell>
        </row>
        <row r="520">
          <cell r="A520" t="str">
            <v>Renewal &amp; Registration Expenses</v>
          </cell>
          <cell r="B520">
            <v>26</v>
          </cell>
          <cell r="C520" t="str">
            <v>Other Expenses</v>
          </cell>
          <cell r="D520" t="str">
            <v>Establishment Expenses-General Expenses</v>
          </cell>
          <cell r="E520">
            <v>336559</v>
          </cell>
          <cell r="F520">
            <v>0</v>
          </cell>
          <cell r="G520">
            <v>336559</v>
          </cell>
          <cell r="H520">
            <v>0</v>
          </cell>
          <cell r="I520">
            <v>0</v>
          </cell>
          <cell r="J520">
            <v>0</v>
          </cell>
          <cell r="K520">
            <v>236391</v>
          </cell>
          <cell r="L520">
            <v>0</v>
          </cell>
          <cell r="M520">
            <v>236391</v>
          </cell>
          <cell r="N520">
            <v>0</v>
          </cell>
          <cell r="O520">
            <v>0</v>
          </cell>
          <cell r="P520">
            <v>0</v>
          </cell>
        </row>
        <row r="521">
          <cell r="A521" t="str">
            <v>Repair &amp; Maint. To Building</v>
          </cell>
          <cell r="B521">
            <v>26</v>
          </cell>
          <cell r="C521" t="str">
            <v>Other Expenses</v>
          </cell>
          <cell r="D521" t="str">
            <v>Manufacturing Expenses-Repairs &amp; Maintainence Building</v>
          </cell>
          <cell r="E521">
            <v>954273.6</v>
          </cell>
          <cell r="F521">
            <v>0</v>
          </cell>
          <cell r="G521">
            <v>954273.6</v>
          </cell>
          <cell r="H521">
            <v>0</v>
          </cell>
          <cell r="I521">
            <v>0</v>
          </cell>
          <cell r="J521">
            <v>0</v>
          </cell>
          <cell r="K521">
            <v>2155685.31</v>
          </cell>
          <cell r="L521">
            <v>0</v>
          </cell>
          <cell r="M521">
            <v>2155685.31</v>
          </cell>
          <cell r="N521">
            <v>0</v>
          </cell>
          <cell r="O521">
            <v>0</v>
          </cell>
          <cell r="P521">
            <v>0</v>
          </cell>
        </row>
        <row r="522">
          <cell r="A522" t="str">
            <v>Repair &amp; Maint. To Other</v>
          </cell>
          <cell r="B522">
            <v>26</v>
          </cell>
          <cell r="C522" t="str">
            <v>Other Expenses</v>
          </cell>
          <cell r="D522" t="str">
            <v>Establishment Expenses-Office Expenses</v>
          </cell>
          <cell r="E522">
            <v>0</v>
          </cell>
          <cell r="F522">
            <v>0</v>
          </cell>
          <cell r="G522">
            <v>0</v>
          </cell>
          <cell r="H522">
            <v>0</v>
          </cell>
          <cell r="I522">
            <v>0</v>
          </cell>
          <cell r="J522">
            <v>0</v>
          </cell>
          <cell r="K522">
            <v>0</v>
          </cell>
          <cell r="L522">
            <v>0</v>
          </cell>
          <cell r="M522">
            <v>0</v>
          </cell>
          <cell r="N522">
            <v>0</v>
          </cell>
          <cell r="O522">
            <v>0</v>
          </cell>
          <cell r="P522">
            <v>0</v>
          </cell>
        </row>
        <row r="523">
          <cell r="A523" t="str">
            <v>Repair &amp; Maintenance to Other Assets</v>
          </cell>
          <cell r="B523">
            <v>26</v>
          </cell>
          <cell r="C523" t="str">
            <v>Other Expenses</v>
          </cell>
          <cell r="D523" t="str">
            <v>Establishment Expenses-Rep. &amp; Maint. Others</v>
          </cell>
          <cell r="E523">
            <v>409071.26</v>
          </cell>
          <cell r="F523">
            <v>0</v>
          </cell>
          <cell r="G523">
            <v>409071.26</v>
          </cell>
          <cell r="H523">
            <v>0</v>
          </cell>
          <cell r="I523">
            <v>0</v>
          </cell>
          <cell r="J523">
            <v>0</v>
          </cell>
          <cell r="K523">
            <v>591277.98</v>
          </cell>
          <cell r="L523">
            <v>0</v>
          </cell>
          <cell r="M523">
            <v>591277.98</v>
          </cell>
          <cell r="N523">
            <v>0</v>
          </cell>
          <cell r="O523">
            <v>0</v>
          </cell>
          <cell r="P523">
            <v>0</v>
          </cell>
        </row>
        <row r="524">
          <cell r="A524" t="str">
            <v>Retention On Vat Expense</v>
          </cell>
          <cell r="B524">
            <v>26</v>
          </cell>
          <cell r="C524" t="str">
            <v>Other Expenses</v>
          </cell>
          <cell r="D524" t="str">
            <v>Manufacturing Expenses - Power &amp; Fuel Consumed</v>
          </cell>
          <cell r="E524">
            <v>0</v>
          </cell>
          <cell r="F524">
            <v>0</v>
          </cell>
          <cell r="G524">
            <v>0</v>
          </cell>
          <cell r="H524">
            <v>0</v>
          </cell>
          <cell r="I524">
            <v>0</v>
          </cell>
          <cell r="J524">
            <v>0</v>
          </cell>
          <cell r="K524">
            <v>0</v>
          </cell>
          <cell r="L524">
            <v>0</v>
          </cell>
          <cell r="M524">
            <v>0</v>
          </cell>
          <cell r="N524">
            <v>0</v>
          </cell>
          <cell r="O524">
            <v>0</v>
          </cell>
          <cell r="P524">
            <v>0</v>
          </cell>
        </row>
        <row r="525">
          <cell r="A525" t="str">
            <v>Revaluation Reserve</v>
          </cell>
          <cell r="B525">
            <v>3</v>
          </cell>
          <cell r="C525" t="str">
            <v>Reserves &amp; Surplus</v>
          </cell>
          <cell r="D525" t="str">
            <v>Capital Reserve</v>
          </cell>
          <cell r="E525">
            <v>0</v>
          </cell>
          <cell r="F525">
            <v>0</v>
          </cell>
          <cell r="G525">
            <v>0</v>
          </cell>
          <cell r="H525">
            <v>50905004</v>
          </cell>
          <cell r="I525">
            <v>0</v>
          </cell>
          <cell r="J525">
            <v>50905004</v>
          </cell>
          <cell r="K525">
            <v>0</v>
          </cell>
          <cell r="L525">
            <v>0</v>
          </cell>
          <cell r="M525">
            <v>0</v>
          </cell>
          <cell r="N525">
            <v>50905004</v>
          </cell>
          <cell r="O525">
            <v>50904992</v>
          </cell>
          <cell r="P525">
            <v>50905004</v>
          </cell>
        </row>
        <row r="526">
          <cell r="A526" t="str">
            <v>Rewanand Patil</v>
          </cell>
          <cell r="B526">
            <v>12</v>
          </cell>
          <cell r="C526" t="str">
            <v>Long Term Loans &amp; Advances</v>
          </cell>
          <cell r="D526" t="str">
            <v>Loans and Advances to Employees</v>
          </cell>
          <cell r="E526">
            <v>0</v>
          </cell>
          <cell r="F526">
            <v>0</v>
          </cell>
          <cell r="G526">
            <v>0</v>
          </cell>
          <cell r="H526">
            <v>0</v>
          </cell>
          <cell r="I526">
            <v>0</v>
          </cell>
          <cell r="J526">
            <v>0</v>
          </cell>
          <cell r="K526">
            <v>0</v>
          </cell>
          <cell r="L526">
            <v>0</v>
          </cell>
          <cell r="M526">
            <v>0</v>
          </cell>
          <cell r="N526">
            <v>0</v>
          </cell>
          <cell r="O526">
            <v>0</v>
          </cell>
          <cell r="P526">
            <v>0</v>
          </cell>
        </row>
        <row r="527">
          <cell r="A527" t="str">
            <v>ROC Filing Charges</v>
          </cell>
          <cell r="B527">
            <v>26</v>
          </cell>
          <cell r="C527" t="str">
            <v>Other Expenses</v>
          </cell>
          <cell r="D527" t="str">
            <v>Establishment Expenses-Rates &amp; Taxes</v>
          </cell>
          <cell r="E527">
            <v>24500</v>
          </cell>
          <cell r="F527">
            <v>0</v>
          </cell>
          <cell r="G527">
            <v>24500</v>
          </cell>
          <cell r="H527">
            <v>0</v>
          </cell>
          <cell r="I527">
            <v>0</v>
          </cell>
          <cell r="J527">
            <v>0</v>
          </cell>
          <cell r="K527">
            <v>62500</v>
          </cell>
          <cell r="L527">
            <v>0</v>
          </cell>
          <cell r="M527">
            <v>62500</v>
          </cell>
          <cell r="N527">
            <v>0</v>
          </cell>
          <cell r="O527">
            <v>0</v>
          </cell>
          <cell r="P527">
            <v>0</v>
          </cell>
        </row>
        <row r="528">
          <cell r="A528" t="str">
            <v>ROUNAK STEEL</v>
          </cell>
          <cell r="B528">
            <v>7</v>
          </cell>
          <cell r="C528" t="str">
            <v>Trade Payables</v>
          </cell>
          <cell r="D528" t="str">
            <v>Trade Payables</v>
          </cell>
          <cell r="E528">
            <v>0</v>
          </cell>
          <cell r="F528">
            <v>0</v>
          </cell>
          <cell r="G528">
            <v>0</v>
          </cell>
          <cell r="H528">
            <v>1127420</v>
          </cell>
          <cell r="I528">
            <v>0</v>
          </cell>
          <cell r="J528">
            <v>1127420</v>
          </cell>
          <cell r="K528">
            <v>0</v>
          </cell>
          <cell r="L528">
            <v>0</v>
          </cell>
          <cell r="M528">
            <v>0</v>
          </cell>
          <cell r="N528">
            <v>187572</v>
          </cell>
          <cell r="O528">
            <v>0</v>
          </cell>
          <cell r="P528">
            <v>187572</v>
          </cell>
        </row>
        <row r="529">
          <cell r="A529" t="str">
            <v>Round Offf</v>
          </cell>
          <cell r="B529">
            <v>26</v>
          </cell>
          <cell r="C529" t="str">
            <v>Other Expenses</v>
          </cell>
          <cell r="D529" t="str">
            <v>Establishment Expenses-General Expenses</v>
          </cell>
          <cell r="E529">
            <v>0</v>
          </cell>
          <cell r="F529">
            <v>0</v>
          </cell>
          <cell r="G529">
            <v>0</v>
          </cell>
          <cell r="H529">
            <v>483.63</v>
          </cell>
          <cell r="I529">
            <v>0</v>
          </cell>
          <cell r="J529">
            <v>483.63</v>
          </cell>
          <cell r="K529">
            <v>0</v>
          </cell>
          <cell r="L529">
            <v>0</v>
          </cell>
          <cell r="M529">
            <v>0</v>
          </cell>
          <cell r="N529">
            <v>313.79000000000002</v>
          </cell>
          <cell r="O529">
            <v>0</v>
          </cell>
          <cell r="P529">
            <v>313.79000000000002</v>
          </cell>
        </row>
        <row r="530">
          <cell r="A530" t="str">
            <v>S. K. Engineering Works</v>
          </cell>
          <cell r="B530">
            <v>7</v>
          </cell>
          <cell r="C530" t="str">
            <v>Trade Payables</v>
          </cell>
          <cell r="D530" t="str">
            <v>Trade Payables</v>
          </cell>
          <cell r="E530">
            <v>0</v>
          </cell>
          <cell r="F530">
            <v>0</v>
          </cell>
          <cell r="G530">
            <v>0</v>
          </cell>
          <cell r="H530">
            <v>0</v>
          </cell>
          <cell r="I530">
            <v>0</v>
          </cell>
          <cell r="J530">
            <v>0</v>
          </cell>
          <cell r="K530">
            <v>0</v>
          </cell>
          <cell r="L530">
            <v>0</v>
          </cell>
          <cell r="M530">
            <v>0</v>
          </cell>
          <cell r="N530">
            <v>0</v>
          </cell>
          <cell r="O530">
            <v>0</v>
          </cell>
          <cell r="P530">
            <v>0</v>
          </cell>
        </row>
        <row r="531">
          <cell r="A531" t="str">
            <v>S. K. PASHINE</v>
          </cell>
          <cell r="B531">
            <v>12</v>
          </cell>
          <cell r="C531" t="str">
            <v>Long Term Loans &amp; Advances</v>
          </cell>
          <cell r="D531" t="str">
            <v>Loans and Advances to Employees</v>
          </cell>
          <cell r="E531">
            <v>0</v>
          </cell>
          <cell r="F531">
            <v>0</v>
          </cell>
          <cell r="G531">
            <v>0</v>
          </cell>
          <cell r="H531">
            <v>0</v>
          </cell>
          <cell r="I531">
            <v>0</v>
          </cell>
          <cell r="J531">
            <v>0</v>
          </cell>
          <cell r="K531">
            <v>0</v>
          </cell>
          <cell r="L531">
            <v>0</v>
          </cell>
          <cell r="M531">
            <v>0</v>
          </cell>
          <cell r="N531">
            <v>0</v>
          </cell>
          <cell r="O531">
            <v>0</v>
          </cell>
          <cell r="P531">
            <v>0</v>
          </cell>
        </row>
        <row r="532">
          <cell r="A532" t="str">
            <v>S.B.I. Dividend A/c 2011-12 [ A/C.NO. 32572411218]</v>
          </cell>
          <cell r="B532">
            <v>16</v>
          </cell>
          <cell r="C532" t="str">
            <v>Cash And Bank Balances</v>
          </cell>
          <cell r="D532" t="str">
            <v>Balance With Bank - Other Bank Balance</v>
          </cell>
          <cell r="E532">
            <v>0</v>
          </cell>
          <cell r="F532">
            <v>0</v>
          </cell>
          <cell r="G532">
            <v>0</v>
          </cell>
          <cell r="H532">
            <v>0</v>
          </cell>
          <cell r="I532">
            <v>0</v>
          </cell>
          <cell r="J532">
            <v>0</v>
          </cell>
          <cell r="K532">
            <v>0</v>
          </cell>
          <cell r="L532">
            <v>192300</v>
          </cell>
          <cell r="M532">
            <v>192300</v>
          </cell>
          <cell r="N532">
            <v>0</v>
          </cell>
          <cell r="O532">
            <v>0</v>
          </cell>
          <cell r="P532">
            <v>0</v>
          </cell>
        </row>
        <row r="533">
          <cell r="A533" t="str">
            <v>S.B.I. Indl.Fin.Br. Trustee HPML Empl.G.G.Scheme</v>
          </cell>
          <cell r="B533">
            <v>16</v>
          </cell>
          <cell r="C533" t="str">
            <v>Cash And Bank Balances</v>
          </cell>
          <cell r="D533" t="str">
            <v>Balance With Bank - Current A/c</v>
          </cell>
          <cell r="E533">
            <v>49097</v>
          </cell>
          <cell r="F533">
            <v>0</v>
          </cell>
          <cell r="G533">
            <v>49097</v>
          </cell>
          <cell r="H533">
            <v>0</v>
          </cell>
          <cell r="I533">
            <v>0</v>
          </cell>
          <cell r="J533">
            <v>0</v>
          </cell>
          <cell r="K533">
            <v>13126.5</v>
          </cell>
          <cell r="L533">
            <v>0</v>
          </cell>
          <cell r="M533">
            <v>13126.5</v>
          </cell>
          <cell r="N533">
            <v>0</v>
          </cell>
          <cell r="O533">
            <v>0</v>
          </cell>
          <cell r="P533">
            <v>0</v>
          </cell>
        </row>
        <row r="534">
          <cell r="A534" t="str">
            <v>S.B.I. Term Loan ( 2 Cr) No. 35531440563</v>
          </cell>
          <cell r="B534">
            <v>4</v>
          </cell>
          <cell r="C534" t="str">
            <v>Long Term Borrowings</v>
          </cell>
          <cell r="D534" t="str">
            <v>Secured - From Banks - Term Loan</v>
          </cell>
          <cell r="E534">
            <v>0</v>
          </cell>
          <cell r="F534">
            <v>0</v>
          </cell>
          <cell r="G534">
            <v>0</v>
          </cell>
          <cell r="H534">
            <v>7150762</v>
          </cell>
          <cell r="I534">
            <v>0</v>
          </cell>
          <cell r="J534">
            <v>7150762</v>
          </cell>
          <cell r="K534">
            <v>0</v>
          </cell>
          <cell r="L534">
            <v>0</v>
          </cell>
          <cell r="M534">
            <v>0</v>
          </cell>
          <cell r="N534">
            <v>10474175</v>
          </cell>
          <cell r="O534">
            <v>0</v>
          </cell>
          <cell r="P534">
            <v>10474175</v>
          </cell>
        </row>
        <row r="535">
          <cell r="A535" t="str">
            <v>S.B.I. Term Loan A/c (033517180072)  4 Cr</v>
          </cell>
          <cell r="B535">
            <v>4</v>
          </cell>
          <cell r="C535" t="str">
            <v>Long Term Borrowings</v>
          </cell>
          <cell r="D535" t="str">
            <v>Secured - From Banks - Term Loan</v>
          </cell>
          <cell r="E535">
            <v>0</v>
          </cell>
          <cell r="F535">
            <v>0</v>
          </cell>
          <cell r="G535">
            <v>0</v>
          </cell>
          <cell r="H535">
            <v>731497</v>
          </cell>
          <cell r="I535">
            <v>0</v>
          </cell>
          <cell r="J535">
            <v>731497</v>
          </cell>
          <cell r="K535">
            <v>0</v>
          </cell>
          <cell r="L535">
            <v>0</v>
          </cell>
          <cell r="M535">
            <v>0</v>
          </cell>
          <cell r="N535">
            <v>8698000</v>
          </cell>
          <cell r="O535">
            <v>0</v>
          </cell>
          <cell r="P535">
            <v>8698000</v>
          </cell>
        </row>
        <row r="536">
          <cell r="A536" t="str">
            <v>S.B.I. Term Loan Additional (A/cNo.35294966669) 1.5</v>
          </cell>
          <cell r="B536">
            <v>4</v>
          </cell>
          <cell r="C536" t="str">
            <v>Long Term Borrowings</v>
          </cell>
          <cell r="D536" t="str">
            <v>Secured - From Banks - Term Loan</v>
          </cell>
          <cell r="E536">
            <v>0</v>
          </cell>
          <cell r="F536">
            <v>0</v>
          </cell>
          <cell r="G536">
            <v>0</v>
          </cell>
          <cell r="H536">
            <v>5601686</v>
          </cell>
          <cell r="I536">
            <v>0</v>
          </cell>
          <cell r="J536">
            <v>5601686</v>
          </cell>
          <cell r="K536">
            <v>0</v>
          </cell>
          <cell r="L536">
            <v>0</v>
          </cell>
          <cell r="M536">
            <v>0</v>
          </cell>
          <cell r="N536">
            <v>8001231</v>
          </cell>
          <cell r="O536">
            <v>0</v>
          </cell>
          <cell r="P536">
            <v>8001231</v>
          </cell>
        </row>
        <row r="537">
          <cell r="A537" t="str">
            <v>S.B.I. Term Loan New A/c (34484493547) 1.5 Cr</v>
          </cell>
          <cell r="B537">
            <v>4</v>
          </cell>
          <cell r="C537" t="str">
            <v>Long Term Borrowings</v>
          </cell>
          <cell r="D537" t="str">
            <v>Secured - From Banks - Term Loan</v>
          </cell>
          <cell r="E537">
            <v>0</v>
          </cell>
          <cell r="F537">
            <v>0</v>
          </cell>
          <cell r="G537">
            <v>0</v>
          </cell>
          <cell r="H537">
            <v>275530</v>
          </cell>
          <cell r="I537">
            <v>0</v>
          </cell>
          <cell r="J537">
            <v>275530</v>
          </cell>
          <cell r="K537">
            <v>0</v>
          </cell>
          <cell r="L537">
            <v>0</v>
          </cell>
          <cell r="M537">
            <v>0</v>
          </cell>
          <cell r="N537">
            <v>3252350</v>
          </cell>
          <cell r="O537">
            <v>0</v>
          </cell>
          <cell r="P537">
            <v>3252350</v>
          </cell>
        </row>
        <row r="538">
          <cell r="A538" t="str">
            <v>S.K.Gupta (P) Ltd,Nagpur</v>
          </cell>
          <cell r="B538">
            <v>7</v>
          </cell>
          <cell r="C538" t="str">
            <v>Trade Payables</v>
          </cell>
          <cell r="D538" t="str">
            <v>Trade Payables</v>
          </cell>
          <cell r="E538">
            <v>0</v>
          </cell>
          <cell r="F538">
            <v>0</v>
          </cell>
          <cell r="G538">
            <v>0</v>
          </cell>
          <cell r="H538">
            <v>0</v>
          </cell>
          <cell r="I538">
            <v>0</v>
          </cell>
          <cell r="J538">
            <v>0</v>
          </cell>
          <cell r="K538">
            <v>0</v>
          </cell>
          <cell r="L538">
            <v>0</v>
          </cell>
          <cell r="M538">
            <v>0</v>
          </cell>
          <cell r="N538">
            <v>23718</v>
          </cell>
          <cell r="O538">
            <v>0</v>
          </cell>
          <cell r="P538">
            <v>23718</v>
          </cell>
        </row>
        <row r="539">
          <cell r="A539" t="str">
            <v>Sachin Dehankar</v>
          </cell>
          <cell r="B539">
            <v>12</v>
          </cell>
          <cell r="C539" t="str">
            <v>Long Term Loans &amp; Advances</v>
          </cell>
          <cell r="D539" t="str">
            <v>Loans and Advances to Employees</v>
          </cell>
          <cell r="E539">
            <v>0</v>
          </cell>
          <cell r="F539">
            <v>0</v>
          </cell>
          <cell r="G539">
            <v>0</v>
          </cell>
          <cell r="H539">
            <v>0</v>
          </cell>
          <cell r="I539">
            <v>0</v>
          </cell>
          <cell r="J539">
            <v>0</v>
          </cell>
          <cell r="K539">
            <v>3000</v>
          </cell>
          <cell r="L539">
            <v>0</v>
          </cell>
          <cell r="M539">
            <v>3000</v>
          </cell>
          <cell r="N539">
            <v>0</v>
          </cell>
          <cell r="O539">
            <v>0</v>
          </cell>
          <cell r="P539">
            <v>0</v>
          </cell>
        </row>
        <row r="540">
          <cell r="A540" t="str">
            <v>Safety Packagers (P) Ltd.</v>
          </cell>
          <cell r="B540">
            <v>15</v>
          </cell>
          <cell r="C540" t="str">
            <v>Trade Receivables</v>
          </cell>
          <cell r="D540" t="str">
            <v>Other Debts</v>
          </cell>
          <cell r="E540">
            <v>392444.5</v>
          </cell>
          <cell r="F540">
            <v>0</v>
          </cell>
          <cell r="G540">
            <v>392444.5</v>
          </cell>
          <cell r="H540">
            <v>0</v>
          </cell>
          <cell r="I540">
            <v>0</v>
          </cell>
          <cell r="J540">
            <v>0</v>
          </cell>
          <cell r="K540">
            <v>815743.5</v>
          </cell>
          <cell r="L540">
            <v>0</v>
          </cell>
          <cell r="M540">
            <v>815743.5</v>
          </cell>
          <cell r="N540">
            <v>0</v>
          </cell>
          <cell r="O540">
            <v>0</v>
          </cell>
          <cell r="P540">
            <v>0</v>
          </cell>
        </row>
        <row r="541">
          <cell r="A541" t="str">
            <v>SAFETY PACKAGERS PVT. LTD.[W.P.]</v>
          </cell>
          <cell r="B541">
            <v>7</v>
          </cell>
          <cell r="C541" t="str">
            <v>Trade Payables</v>
          </cell>
          <cell r="D541" t="str">
            <v>Trade Payables</v>
          </cell>
          <cell r="E541">
            <v>0</v>
          </cell>
          <cell r="F541">
            <v>0</v>
          </cell>
          <cell r="G541">
            <v>0</v>
          </cell>
          <cell r="H541">
            <v>0</v>
          </cell>
          <cell r="I541">
            <v>0</v>
          </cell>
          <cell r="J541">
            <v>0</v>
          </cell>
          <cell r="K541">
            <v>0</v>
          </cell>
          <cell r="L541">
            <v>0</v>
          </cell>
          <cell r="M541">
            <v>0</v>
          </cell>
          <cell r="N541">
            <v>0</v>
          </cell>
          <cell r="O541">
            <v>0</v>
          </cell>
          <cell r="P541">
            <v>0</v>
          </cell>
        </row>
        <row r="542">
          <cell r="A542" t="str">
            <v>Safexpress Pvt. Ltd.</v>
          </cell>
          <cell r="B542">
            <v>7</v>
          </cell>
          <cell r="C542" t="str">
            <v>Trade Payables</v>
          </cell>
          <cell r="D542" t="str">
            <v>Trade Payables</v>
          </cell>
          <cell r="E542">
            <v>0</v>
          </cell>
          <cell r="F542">
            <v>0</v>
          </cell>
          <cell r="G542">
            <v>0</v>
          </cell>
          <cell r="H542">
            <v>0</v>
          </cell>
          <cell r="I542">
            <v>0</v>
          </cell>
          <cell r="J542">
            <v>0</v>
          </cell>
          <cell r="K542">
            <v>0</v>
          </cell>
          <cell r="L542">
            <v>0</v>
          </cell>
          <cell r="M542">
            <v>0</v>
          </cell>
          <cell r="N542">
            <v>3622</v>
          </cell>
          <cell r="O542">
            <v>0</v>
          </cell>
          <cell r="P542">
            <v>3622</v>
          </cell>
        </row>
        <row r="543">
          <cell r="A543" t="str">
            <v>Saini Transport Co.</v>
          </cell>
          <cell r="B543">
            <v>7</v>
          </cell>
          <cell r="C543" t="str">
            <v>Trade Payables</v>
          </cell>
          <cell r="D543" t="str">
            <v>Trade Payables</v>
          </cell>
          <cell r="E543">
            <v>0</v>
          </cell>
          <cell r="F543">
            <v>0</v>
          </cell>
          <cell r="G543">
            <v>0</v>
          </cell>
          <cell r="H543">
            <v>879467</v>
          </cell>
          <cell r="I543">
            <v>0</v>
          </cell>
          <cell r="J543">
            <v>879467</v>
          </cell>
          <cell r="K543">
            <v>0</v>
          </cell>
          <cell r="L543">
            <v>0</v>
          </cell>
          <cell r="M543">
            <v>0</v>
          </cell>
          <cell r="N543">
            <v>658176</v>
          </cell>
          <cell r="O543">
            <v>0</v>
          </cell>
          <cell r="P543">
            <v>658176</v>
          </cell>
        </row>
        <row r="544">
          <cell r="A544" t="str">
            <v>Saini Travels Pvt. Ltd.</v>
          </cell>
          <cell r="B544">
            <v>6</v>
          </cell>
          <cell r="C544" t="str">
            <v>Short Term Borrowings</v>
          </cell>
          <cell r="D544" t="str">
            <v>Unsecured-From Related Party</v>
          </cell>
          <cell r="E544">
            <v>0</v>
          </cell>
          <cell r="F544">
            <v>0</v>
          </cell>
          <cell r="G544">
            <v>0</v>
          </cell>
          <cell r="H544">
            <v>0</v>
          </cell>
          <cell r="I544">
            <v>0</v>
          </cell>
          <cell r="J544">
            <v>0</v>
          </cell>
          <cell r="K544">
            <v>0</v>
          </cell>
          <cell r="L544">
            <v>0</v>
          </cell>
          <cell r="M544">
            <v>0</v>
          </cell>
          <cell r="N544">
            <v>0</v>
          </cell>
          <cell r="O544">
            <v>0</v>
          </cell>
          <cell r="P544">
            <v>0</v>
          </cell>
        </row>
        <row r="545">
          <cell r="A545" t="str">
            <v>Salary Payable</v>
          </cell>
          <cell r="B545">
            <v>8</v>
          </cell>
          <cell r="C545" t="str">
            <v>Other Current Liabilities</v>
          </cell>
          <cell r="D545" t="str">
            <v>Employee Payables</v>
          </cell>
          <cell r="E545">
            <v>0</v>
          </cell>
          <cell r="F545">
            <v>0</v>
          </cell>
          <cell r="G545">
            <v>0</v>
          </cell>
          <cell r="H545">
            <v>803704</v>
          </cell>
          <cell r="I545">
            <v>0</v>
          </cell>
          <cell r="J545">
            <v>803704</v>
          </cell>
          <cell r="K545">
            <v>0</v>
          </cell>
          <cell r="L545">
            <v>0</v>
          </cell>
          <cell r="M545">
            <v>0</v>
          </cell>
          <cell r="N545">
            <v>790876</v>
          </cell>
          <cell r="O545">
            <v>0</v>
          </cell>
          <cell r="P545">
            <v>790876</v>
          </cell>
        </row>
        <row r="546">
          <cell r="A546" t="str">
            <v>Dividend Payable</v>
          </cell>
          <cell r="B546">
            <v>8</v>
          </cell>
          <cell r="C546" t="str">
            <v>Other Current Liabilities</v>
          </cell>
          <cell r="D546" t="str">
            <v>Dividend Payable</v>
          </cell>
          <cell r="E546">
            <v>0</v>
          </cell>
          <cell r="F546">
            <v>0</v>
          </cell>
          <cell r="G546">
            <v>0</v>
          </cell>
          <cell r="H546">
            <v>0</v>
          </cell>
          <cell r="I546">
            <v>0</v>
          </cell>
          <cell r="J546">
            <v>0</v>
          </cell>
          <cell r="K546">
            <v>0</v>
          </cell>
          <cell r="L546">
            <v>0</v>
          </cell>
          <cell r="M546">
            <v>0</v>
          </cell>
          <cell r="N546">
            <v>0</v>
          </cell>
          <cell r="O546">
            <v>192300</v>
          </cell>
          <cell r="P546">
            <v>192300</v>
          </cell>
        </row>
        <row r="547">
          <cell r="A547" t="str">
            <v>Salary To Factory Adm. Staff</v>
          </cell>
          <cell r="B547">
            <v>24</v>
          </cell>
          <cell r="C547" t="str">
            <v>Employee Benefit Expenses</v>
          </cell>
          <cell r="D547" t="str">
            <v>Salary &amp; Wages</v>
          </cell>
          <cell r="E547">
            <v>1626242</v>
          </cell>
          <cell r="F547">
            <v>0</v>
          </cell>
          <cell r="G547">
            <v>1626242</v>
          </cell>
          <cell r="H547">
            <v>0</v>
          </cell>
          <cell r="I547">
            <v>0</v>
          </cell>
          <cell r="J547">
            <v>0</v>
          </cell>
          <cell r="K547">
            <v>2090961</v>
          </cell>
          <cell r="L547">
            <v>0</v>
          </cell>
          <cell r="M547">
            <v>2090961</v>
          </cell>
          <cell r="N547">
            <v>0</v>
          </cell>
          <cell r="O547">
            <v>0</v>
          </cell>
          <cell r="P547">
            <v>0</v>
          </cell>
        </row>
        <row r="548">
          <cell r="A548" t="str">
            <v>Salary to Company Secretary</v>
          </cell>
          <cell r="B548">
            <v>24</v>
          </cell>
          <cell r="C548" t="str">
            <v>Employee Benefit Expenses</v>
          </cell>
          <cell r="D548" t="str">
            <v>Salary &amp; Wages</v>
          </cell>
          <cell r="E548">
            <v>203540</v>
          </cell>
          <cell r="F548">
            <v>0</v>
          </cell>
          <cell r="G548">
            <v>203540</v>
          </cell>
          <cell r="H548">
            <v>0</v>
          </cell>
          <cell r="I548">
            <v>0</v>
          </cell>
          <cell r="J548">
            <v>0</v>
          </cell>
          <cell r="K548">
            <v>0</v>
          </cell>
          <cell r="L548">
            <v>0</v>
          </cell>
          <cell r="M548">
            <v>0</v>
          </cell>
          <cell r="N548">
            <v>0</v>
          </cell>
          <cell r="O548">
            <v>0</v>
          </cell>
          <cell r="P548">
            <v>0</v>
          </cell>
        </row>
        <row r="549">
          <cell r="A549" t="str">
            <v>Salary To Office Staff</v>
          </cell>
          <cell r="B549">
            <v>24</v>
          </cell>
          <cell r="C549" t="str">
            <v>Employee Benefit Expenses</v>
          </cell>
          <cell r="D549" t="str">
            <v>Salary &amp; Wages</v>
          </cell>
          <cell r="E549">
            <v>2273038</v>
          </cell>
          <cell r="F549">
            <v>0</v>
          </cell>
          <cell r="G549">
            <v>2273038</v>
          </cell>
          <cell r="H549">
            <v>0</v>
          </cell>
          <cell r="I549">
            <v>0</v>
          </cell>
          <cell r="J549">
            <v>0</v>
          </cell>
          <cell r="K549">
            <v>2405654</v>
          </cell>
          <cell r="L549">
            <v>0</v>
          </cell>
          <cell r="M549">
            <v>2405654</v>
          </cell>
          <cell r="N549">
            <v>0</v>
          </cell>
          <cell r="O549">
            <v>0</v>
          </cell>
          <cell r="P549">
            <v>0</v>
          </cell>
        </row>
        <row r="550">
          <cell r="A550" t="str">
            <v>Salary To Other Factory Staff</v>
          </cell>
          <cell r="B550">
            <v>24</v>
          </cell>
          <cell r="C550" t="str">
            <v>Employee Benefit Expenses</v>
          </cell>
          <cell r="D550" t="str">
            <v>Salary &amp; Wages</v>
          </cell>
          <cell r="E550">
            <v>8511335</v>
          </cell>
          <cell r="F550">
            <v>0</v>
          </cell>
          <cell r="G550">
            <v>8511335</v>
          </cell>
          <cell r="H550">
            <v>0</v>
          </cell>
          <cell r="I550">
            <v>0</v>
          </cell>
          <cell r="J550">
            <v>0</v>
          </cell>
          <cell r="K550">
            <v>8079596</v>
          </cell>
          <cell r="L550">
            <v>0</v>
          </cell>
          <cell r="M550">
            <v>8079596</v>
          </cell>
          <cell r="N550">
            <v>0</v>
          </cell>
          <cell r="O550">
            <v>0</v>
          </cell>
          <cell r="P550">
            <v>0</v>
          </cell>
        </row>
        <row r="551">
          <cell r="A551" t="str">
            <v>Sale Cess On Paper  @ 0.125%</v>
          </cell>
          <cell r="B551">
            <v>19</v>
          </cell>
          <cell r="C551" t="str">
            <v>Revenue From Operations</v>
          </cell>
          <cell r="D551" t="str">
            <v>Sale of Goods - Manufacturing Sales</v>
          </cell>
          <cell r="E551">
            <v>0</v>
          </cell>
          <cell r="F551">
            <v>0</v>
          </cell>
          <cell r="G551">
            <v>0</v>
          </cell>
          <cell r="H551">
            <v>0</v>
          </cell>
          <cell r="I551">
            <v>0</v>
          </cell>
          <cell r="J551">
            <v>0</v>
          </cell>
          <cell r="K551">
            <v>0</v>
          </cell>
          <cell r="L551">
            <v>0</v>
          </cell>
          <cell r="M551">
            <v>0</v>
          </cell>
          <cell r="N551">
            <v>0</v>
          </cell>
          <cell r="O551">
            <v>0</v>
          </cell>
          <cell r="P551">
            <v>0</v>
          </cell>
        </row>
        <row r="552">
          <cell r="A552" t="str">
            <v>Sale Excise Duty @ 6%</v>
          </cell>
          <cell r="B552">
            <v>19</v>
          </cell>
          <cell r="C552" t="str">
            <v>Revenue From Operations</v>
          </cell>
          <cell r="D552" t="str">
            <v>Sale of Goods - Manufacturing Sales</v>
          </cell>
          <cell r="E552">
            <v>0</v>
          </cell>
          <cell r="F552">
            <v>0</v>
          </cell>
          <cell r="G552">
            <v>0</v>
          </cell>
          <cell r="H552">
            <v>0</v>
          </cell>
          <cell r="I552">
            <v>0</v>
          </cell>
          <cell r="J552">
            <v>0</v>
          </cell>
          <cell r="K552">
            <v>0</v>
          </cell>
          <cell r="L552">
            <v>0</v>
          </cell>
          <cell r="M552">
            <v>0</v>
          </cell>
          <cell r="N552">
            <v>0</v>
          </cell>
          <cell r="O552">
            <v>0</v>
          </cell>
          <cell r="P552">
            <v>0</v>
          </cell>
        </row>
        <row r="553">
          <cell r="A553" t="str">
            <v>Sale Transit Insurance @0.30%</v>
          </cell>
          <cell r="B553">
            <v>19</v>
          </cell>
          <cell r="C553" t="str">
            <v>Revenue From Operations</v>
          </cell>
          <cell r="D553" t="str">
            <v>Sale of Goods - Manufacturing Sales</v>
          </cell>
          <cell r="E553">
            <v>0</v>
          </cell>
          <cell r="F553">
            <v>0</v>
          </cell>
          <cell r="G553">
            <v>0</v>
          </cell>
          <cell r="H553">
            <v>755246</v>
          </cell>
          <cell r="I553">
            <v>0</v>
          </cell>
          <cell r="J553">
            <v>755246</v>
          </cell>
          <cell r="K553">
            <v>0</v>
          </cell>
          <cell r="L553">
            <v>0</v>
          </cell>
          <cell r="M553">
            <v>0</v>
          </cell>
          <cell r="N553">
            <v>1026721.38</v>
          </cell>
          <cell r="O553">
            <v>0</v>
          </cell>
          <cell r="P553">
            <v>1026721.38</v>
          </cell>
        </row>
        <row r="554">
          <cell r="A554" t="str">
            <v>SALES A/C GST</v>
          </cell>
          <cell r="B554">
            <v>19</v>
          </cell>
          <cell r="C554" t="str">
            <v>Revenue From Operations</v>
          </cell>
          <cell r="D554" t="str">
            <v>Sale of Goods - Manufacturing Sales</v>
          </cell>
          <cell r="E554">
            <v>0</v>
          </cell>
          <cell r="F554">
            <v>0</v>
          </cell>
          <cell r="G554">
            <v>0</v>
          </cell>
          <cell r="H554">
            <v>609002318.29999995</v>
          </cell>
          <cell r="I554">
            <v>0</v>
          </cell>
          <cell r="J554">
            <v>609002318.29999995</v>
          </cell>
          <cell r="K554">
            <v>0</v>
          </cell>
          <cell r="L554">
            <v>0</v>
          </cell>
          <cell r="M554">
            <v>0</v>
          </cell>
          <cell r="N554">
            <v>681697693.20000005</v>
          </cell>
          <cell r="O554">
            <v>0</v>
          </cell>
          <cell r="P554">
            <v>681697693.20000005</v>
          </cell>
        </row>
        <row r="555">
          <cell r="A555" t="str">
            <v>SALES A/C INTERASTATE</v>
          </cell>
          <cell r="B555">
            <v>19</v>
          </cell>
          <cell r="C555" t="str">
            <v>Revenue From Operations</v>
          </cell>
          <cell r="D555" t="str">
            <v>Sale of Goods - Manufacturing Sales</v>
          </cell>
          <cell r="E555">
            <v>0</v>
          </cell>
          <cell r="F555">
            <v>0</v>
          </cell>
          <cell r="G555">
            <v>0</v>
          </cell>
          <cell r="H555">
            <v>77113878.299999997</v>
          </cell>
          <cell r="I555">
            <v>0</v>
          </cell>
          <cell r="J555">
            <v>77113878.299999997</v>
          </cell>
          <cell r="K555">
            <v>0</v>
          </cell>
          <cell r="L555">
            <v>0</v>
          </cell>
          <cell r="M555">
            <v>0</v>
          </cell>
          <cell r="N555">
            <v>106464666.95</v>
          </cell>
          <cell r="O555">
            <v>0</v>
          </cell>
          <cell r="P555">
            <v>106464666.95</v>
          </cell>
        </row>
        <row r="556">
          <cell r="A556" t="str">
            <v>Sales Return Account (GST Sales)</v>
          </cell>
          <cell r="B556">
            <v>19</v>
          </cell>
          <cell r="C556" t="str">
            <v>Revenue From Operations</v>
          </cell>
          <cell r="D556" t="str">
            <v>Sale of Goods - Manufacturing Sales</v>
          </cell>
          <cell r="E556">
            <v>245586</v>
          </cell>
          <cell r="F556">
            <v>0</v>
          </cell>
          <cell r="G556">
            <v>245586</v>
          </cell>
          <cell r="H556">
            <v>0</v>
          </cell>
          <cell r="I556">
            <v>0</v>
          </cell>
          <cell r="J556">
            <v>0</v>
          </cell>
          <cell r="K556">
            <v>0</v>
          </cell>
          <cell r="L556">
            <v>0</v>
          </cell>
          <cell r="M556">
            <v>0</v>
          </cell>
          <cell r="N556">
            <v>0</v>
          </cell>
          <cell r="O556">
            <v>0</v>
          </cell>
          <cell r="P556">
            <v>0</v>
          </cell>
        </row>
        <row r="557">
          <cell r="A557" t="str">
            <v>SALES TAX ASSESSMENT  F.Y.13-14</v>
          </cell>
          <cell r="B557">
            <v>26</v>
          </cell>
          <cell r="C557" t="str">
            <v>Other Expenses</v>
          </cell>
          <cell r="D557" t="str">
            <v>Establishment Expenses-Rates &amp; Taxes</v>
          </cell>
          <cell r="E557">
            <v>0</v>
          </cell>
          <cell r="F557">
            <v>0</v>
          </cell>
          <cell r="G557">
            <v>0</v>
          </cell>
          <cell r="H557">
            <v>0</v>
          </cell>
          <cell r="I557">
            <v>0</v>
          </cell>
          <cell r="J557">
            <v>0</v>
          </cell>
          <cell r="K557">
            <v>0</v>
          </cell>
          <cell r="L557">
            <v>0</v>
          </cell>
          <cell r="M557">
            <v>0</v>
          </cell>
          <cell r="N557">
            <v>0</v>
          </cell>
          <cell r="O557">
            <v>0</v>
          </cell>
          <cell r="P557">
            <v>0</v>
          </cell>
        </row>
        <row r="558">
          <cell r="A558" t="str">
            <v>SANA TRADING COMPANY</v>
          </cell>
          <cell r="B558">
            <v>7</v>
          </cell>
          <cell r="C558" t="str">
            <v>Trade Payables</v>
          </cell>
          <cell r="D558" t="str">
            <v>Trade Payables</v>
          </cell>
          <cell r="E558">
            <v>0</v>
          </cell>
          <cell r="F558">
            <v>0</v>
          </cell>
          <cell r="G558">
            <v>0</v>
          </cell>
          <cell r="H558">
            <v>0</v>
          </cell>
          <cell r="I558">
            <v>0</v>
          </cell>
          <cell r="J558">
            <v>0</v>
          </cell>
          <cell r="K558">
            <v>0</v>
          </cell>
          <cell r="L558">
            <v>0</v>
          </cell>
          <cell r="M558">
            <v>0</v>
          </cell>
          <cell r="N558">
            <v>0</v>
          </cell>
          <cell r="O558">
            <v>0</v>
          </cell>
          <cell r="P558">
            <v>0</v>
          </cell>
        </row>
        <row r="559">
          <cell r="A559" t="str">
            <v>Sangeeta Trading Co.</v>
          </cell>
          <cell r="B559">
            <v>17</v>
          </cell>
          <cell r="C559" t="str">
            <v>Short Term Loans &amp; Advances</v>
          </cell>
          <cell r="D559" t="str">
            <v>Advance to Suppliers</v>
          </cell>
          <cell r="E559">
            <v>0</v>
          </cell>
          <cell r="F559">
            <v>0</v>
          </cell>
          <cell r="G559">
            <v>0</v>
          </cell>
          <cell r="H559">
            <v>0</v>
          </cell>
          <cell r="I559">
            <v>0</v>
          </cell>
          <cell r="J559">
            <v>0</v>
          </cell>
          <cell r="K559">
            <v>0</v>
          </cell>
          <cell r="L559">
            <v>0</v>
          </cell>
          <cell r="M559">
            <v>0</v>
          </cell>
          <cell r="N559">
            <v>0</v>
          </cell>
          <cell r="O559">
            <v>0</v>
          </cell>
          <cell r="P559">
            <v>0</v>
          </cell>
        </row>
        <row r="560">
          <cell r="A560" t="str">
            <v>Sanjamkaur Saini</v>
          </cell>
          <cell r="B560">
            <v>4</v>
          </cell>
          <cell r="C560" t="str">
            <v>Long Term Borrowings</v>
          </cell>
          <cell r="D560" t="str">
            <v>Unsecured-From Related Party</v>
          </cell>
          <cell r="E560">
            <v>0</v>
          </cell>
          <cell r="F560">
            <v>0</v>
          </cell>
          <cell r="G560">
            <v>0</v>
          </cell>
          <cell r="H560">
            <v>874676</v>
          </cell>
          <cell r="I560">
            <v>0</v>
          </cell>
          <cell r="J560">
            <v>874676</v>
          </cell>
          <cell r="K560">
            <v>0</v>
          </cell>
          <cell r="L560">
            <v>0</v>
          </cell>
          <cell r="M560">
            <v>0</v>
          </cell>
          <cell r="N560">
            <v>800000</v>
          </cell>
          <cell r="O560">
            <v>0</v>
          </cell>
          <cell r="P560">
            <v>800000</v>
          </cell>
        </row>
        <row r="561">
          <cell r="A561" t="str">
            <v>Sanjay Tiwari</v>
          </cell>
          <cell r="B561">
            <v>12</v>
          </cell>
          <cell r="C561" t="str">
            <v>Long Term Loans &amp; Advances</v>
          </cell>
          <cell r="D561" t="str">
            <v>Loans and Advances to Employees</v>
          </cell>
          <cell r="E561">
            <v>0</v>
          </cell>
          <cell r="F561">
            <v>0</v>
          </cell>
          <cell r="G561">
            <v>0</v>
          </cell>
          <cell r="H561">
            <v>0</v>
          </cell>
          <cell r="I561">
            <v>0</v>
          </cell>
          <cell r="J561">
            <v>0</v>
          </cell>
          <cell r="K561">
            <v>21000</v>
          </cell>
          <cell r="L561">
            <v>0</v>
          </cell>
          <cell r="M561">
            <v>21000</v>
          </cell>
          <cell r="N561">
            <v>0</v>
          </cell>
          <cell r="O561">
            <v>0</v>
          </cell>
          <cell r="P561">
            <v>0</v>
          </cell>
        </row>
        <row r="562">
          <cell r="A562" t="str">
            <v>Saraswati General Stores, Nagpur</v>
          </cell>
          <cell r="B562">
            <v>7</v>
          </cell>
          <cell r="C562" t="str">
            <v>Trade Payables</v>
          </cell>
          <cell r="D562" t="str">
            <v>Trade Payables</v>
          </cell>
          <cell r="E562">
            <v>0</v>
          </cell>
          <cell r="F562">
            <v>0</v>
          </cell>
          <cell r="G562">
            <v>0</v>
          </cell>
          <cell r="H562">
            <v>85602</v>
          </cell>
          <cell r="I562">
            <v>0</v>
          </cell>
          <cell r="J562">
            <v>85602</v>
          </cell>
          <cell r="K562">
            <v>0</v>
          </cell>
          <cell r="L562">
            <v>0</v>
          </cell>
          <cell r="M562">
            <v>0</v>
          </cell>
          <cell r="N562">
            <v>48316</v>
          </cell>
          <cell r="O562">
            <v>0</v>
          </cell>
          <cell r="P562">
            <v>48316</v>
          </cell>
        </row>
        <row r="563">
          <cell r="A563" t="str">
            <v>Sartaj Manindersingh Saini</v>
          </cell>
          <cell r="B563">
            <v>4</v>
          </cell>
          <cell r="C563" t="str">
            <v>Long Term Borrowings</v>
          </cell>
          <cell r="D563" t="str">
            <v>Unsecured-From Related Party</v>
          </cell>
          <cell r="E563">
            <v>0</v>
          </cell>
          <cell r="F563">
            <v>0</v>
          </cell>
          <cell r="G563">
            <v>0</v>
          </cell>
          <cell r="H563">
            <v>1640020</v>
          </cell>
          <cell r="I563">
            <v>0</v>
          </cell>
          <cell r="J563">
            <v>1640020</v>
          </cell>
          <cell r="K563">
            <v>0</v>
          </cell>
          <cell r="L563">
            <v>0</v>
          </cell>
          <cell r="M563">
            <v>0</v>
          </cell>
          <cell r="N563">
            <v>1500000</v>
          </cell>
          <cell r="O563">
            <v>0</v>
          </cell>
          <cell r="P563">
            <v>1500000</v>
          </cell>
        </row>
        <row r="564">
          <cell r="A564" t="str">
            <v>Saurashtra Marketing Corporation</v>
          </cell>
          <cell r="B564">
            <v>7</v>
          </cell>
          <cell r="C564" t="str">
            <v>Trade Payables</v>
          </cell>
          <cell r="D564" t="str">
            <v>Trade Payables</v>
          </cell>
          <cell r="E564">
            <v>0</v>
          </cell>
          <cell r="F564">
            <v>0</v>
          </cell>
          <cell r="G564">
            <v>0</v>
          </cell>
          <cell r="H564">
            <v>0</v>
          </cell>
          <cell r="I564">
            <v>0</v>
          </cell>
          <cell r="J564">
            <v>0</v>
          </cell>
          <cell r="K564">
            <v>1120</v>
          </cell>
          <cell r="L564">
            <v>0</v>
          </cell>
          <cell r="M564">
            <v>1120</v>
          </cell>
          <cell r="N564">
            <v>0</v>
          </cell>
          <cell r="O564">
            <v>0</v>
          </cell>
          <cell r="P564">
            <v>0</v>
          </cell>
        </row>
        <row r="565">
          <cell r="A565" t="str">
            <v>SBC .5% ( on OCC Expenses)</v>
          </cell>
          <cell r="B565">
            <v>26</v>
          </cell>
          <cell r="C565" t="str">
            <v>Other Expenses</v>
          </cell>
          <cell r="D565" t="str">
            <v>Establishment Expenses-Rates &amp; Taxes</v>
          </cell>
          <cell r="E565">
            <v>0</v>
          </cell>
          <cell r="F565">
            <v>0</v>
          </cell>
          <cell r="G565">
            <v>0</v>
          </cell>
          <cell r="H565">
            <v>0</v>
          </cell>
          <cell r="I565">
            <v>0</v>
          </cell>
          <cell r="J565">
            <v>0</v>
          </cell>
          <cell r="K565">
            <v>0</v>
          </cell>
          <cell r="L565">
            <v>0</v>
          </cell>
          <cell r="M565">
            <v>0</v>
          </cell>
          <cell r="N565">
            <v>0</v>
          </cell>
          <cell r="O565">
            <v>0</v>
          </cell>
          <cell r="P565">
            <v>0</v>
          </cell>
        </row>
        <row r="566">
          <cell r="A566" t="str">
            <v>SALES TAX ASSESSMENT 2012-13</v>
          </cell>
          <cell r="B566">
            <v>26</v>
          </cell>
          <cell r="C566" t="str">
            <v>Other Expenses</v>
          </cell>
          <cell r="D566" t="str">
            <v>Establishment Expenses-Rates &amp; Taxes</v>
          </cell>
          <cell r="E566">
            <v>23653</v>
          </cell>
          <cell r="F566">
            <v>0</v>
          </cell>
          <cell r="G566">
            <v>23653</v>
          </cell>
          <cell r="H566">
            <v>0</v>
          </cell>
          <cell r="I566">
            <v>0</v>
          </cell>
          <cell r="J566">
            <v>0</v>
          </cell>
          <cell r="K566">
            <v>0</v>
          </cell>
          <cell r="L566">
            <v>0</v>
          </cell>
          <cell r="M566">
            <v>0</v>
          </cell>
          <cell r="N566">
            <v>0</v>
          </cell>
          <cell r="O566">
            <v>0</v>
          </cell>
          <cell r="P566">
            <v>0</v>
          </cell>
        </row>
        <row r="567">
          <cell r="A567" t="str">
            <v>SBC .5% (On Commission Ser Tax)</v>
          </cell>
          <cell r="B567">
            <v>26</v>
          </cell>
          <cell r="C567" t="str">
            <v>Other Expenses</v>
          </cell>
          <cell r="D567" t="str">
            <v>Establishment Expenses-Rates &amp; Taxes</v>
          </cell>
          <cell r="E567">
            <v>0</v>
          </cell>
          <cell r="F567">
            <v>0</v>
          </cell>
          <cell r="G567">
            <v>0</v>
          </cell>
          <cell r="H567">
            <v>0</v>
          </cell>
          <cell r="I567">
            <v>0</v>
          </cell>
          <cell r="J567">
            <v>0</v>
          </cell>
          <cell r="K567">
            <v>0</v>
          </cell>
          <cell r="L567">
            <v>0</v>
          </cell>
          <cell r="M567">
            <v>0</v>
          </cell>
          <cell r="N567">
            <v>0</v>
          </cell>
          <cell r="O567">
            <v>0</v>
          </cell>
          <cell r="P567">
            <v>0</v>
          </cell>
        </row>
        <row r="568">
          <cell r="A568" t="str">
            <v>SBC .5% (On Contractor Ser Tax)</v>
          </cell>
          <cell r="B568">
            <v>26</v>
          </cell>
          <cell r="C568" t="str">
            <v>Other Expenses</v>
          </cell>
          <cell r="D568" t="str">
            <v>Establishment Expenses-Rates &amp; Taxes</v>
          </cell>
          <cell r="E568">
            <v>0</v>
          </cell>
          <cell r="F568">
            <v>0</v>
          </cell>
          <cell r="G568">
            <v>0</v>
          </cell>
          <cell r="H568">
            <v>0</v>
          </cell>
          <cell r="I568">
            <v>0</v>
          </cell>
          <cell r="J568">
            <v>0</v>
          </cell>
          <cell r="K568">
            <v>0</v>
          </cell>
          <cell r="L568">
            <v>0</v>
          </cell>
          <cell r="M568">
            <v>0</v>
          </cell>
          <cell r="N568">
            <v>0</v>
          </cell>
          <cell r="O568">
            <v>0</v>
          </cell>
          <cell r="P568">
            <v>0</v>
          </cell>
        </row>
        <row r="569">
          <cell r="A569" t="str">
            <v>SBC .5% (on Trans. Ser Tax)</v>
          </cell>
          <cell r="B569">
            <v>26</v>
          </cell>
          <cell r="C569" t="str">
            <v>Other Expenses</v>
          </cell>
          <cell r="D569" t="str">
            <v>Establishment Expenses-Rates &amp; Taxes</v>
          </cell>
          <cell r="E569">
            <v>0</v>
          </cell>
          <cell r="F569">
            <v>0</v>
          </cell>
          <cell r="G569">
            <v>0</v>
          </cell>
          <cell r="H569">
            <v>0</v>
          </cell>
          <cell r="I569">
            <v>0</v>
          </cell>
          <cell r="J569">
            <v>0</v>
          </cell>
          <cell r="K569">
            <v>0</v>
          </cell>
          <cell r="L569">
            <v>0</v>
          </cell>
          <cell r="M569">
            <v>0</v>
          </cell>
          <cell r="N569">
            <v>0</v>
          </cell>
          <cell r="O569">
            <v>0</v>
          </cell>
          <cell r="P569">
            <v>0</v>
          </cell>
        </row>
        <row r="570">
          <cell r="A570" t="str">
            <v>SBC @.5% (On Other)</v>
          </cell>
          <cell r="B570">
            <v>26</v>
          </cell>
          <cell r="C570" t="str">
            <v>Other Expenses</v>
          </cell>
          <cell r="D570" t="str">
            <v>Establishment Expenses-Rates &amp; Taxes</v>
          </cell>
          <cell r="E570">
            <v>0</v>
          </cell>
          <cell r="F570">
            <v>0</v>
          </cell>
          <cell r="G570">
            <v>0</v>
          </cell>
          <cell r="H570">
            <v>0</v>
          </cell>
          <cell r="I570">
            <v>0</v>
          </cell>
          <cell r="J570">
            <v>0</v>
          </cell>
          <cell r="K570">
            <v>0</v>
          </cell>
          <cell r="L570">
            <v>0</v>
          </cell>
          <cell r="M570">
            <v>0</v>
          </cell>
          <cell r="N570">
            <v>0</v>
          </cell>
          <cell r="O570">
            <v>0</v>
          </cell>
          <cell r="P570">
            <v>0</v>
          </cell>
        </row>
        <row r="571">
          <cell r="A571" t="str">
            <v>SEASCOPE PULP &amp; PAPERS PVT.LTD.</v>
          </cell>
          <cell r="B571">
            <v>17</v>
          </cell>
          <cell r="C571" t="str">
            <v>Short Term Loans &amp; Advances</v>
          </cell>
          <cell r="D571" t="str">
            <v>Advance to Suppliers</v>
          </cell>
          <cell r="E571">
            <v>0</v>
          </cell>
          <cell r="F571">
            <v>0</v>
          </cell>
          <cell r="G571">
            <v>0</v>
          </cell>
          <cell r="H571">
            <v>0</v>
          </cell>
          <cell r="I571">
            <v>0</v>
          </cell>
          <cell r="J571">
            <v>0</v>
          </cell>
          <cell r="K571">
            <v>0</v>
          </cell>
          <cell r="L571">
            <v>0</v>
          </cell>
          <cell r="M571">
            <v>0</v>
          </cell>
          <cell r="N571">
            <v>0</v>
          </cell>
          <cell r="O571">
            <v>0</v>
          </cell>
          <cell r="P571">
            <v>0</v>
          </cell>
        </row>
        <row r="572">
          <cell r="A572" t="str">
            <v>Securities Premium (351165@25)</v>
          </cell>
          <cell r="B572">
            <v>3</v>
          </cell>
          <cell r="C572" t="str">
            <v>Reserves &amp; Surplus</v>
          </cell>
          <cell r="D572" t="str">
            <v>Securities Premium</v>
          </cell>
          <cell r="E572">
            <v>0</v>
          </cell>
          <cell r="F572">
            <v>0</v>
          </cell>
          <cell r="G572">
            <v>0</v>
          </cell>
          <cell r="H572">
            <v>8664946</v>
          </cell>
          <cell r="I572">
            <v>0</v>
          </cell>
          <cell r="J572">
            <v>8664946</v>
          </cell>
          <cell r="K572">
            <v>0</v>
          </cell>
          <cell r="L572">
            <v>0</v>
          </cell>
          <cell r="M572">
            <v>0</v>
          </cell>
          <cell r="N572">
            <v>8664946</v>
          </cell>
          <cell r="O572">
            <v>0</v>
          </cell>
          <cell r="P572">
            <v>8664946</v>
          </cell>
        </row>
        <row r="573">
          <cell r="A573" t="str">
            <v>Security Room</v>
          </cell>
          <cell r="B573">
            <v>10</v>
          </cell>
          <cell r="C573" t="str">
            <v>Fixed Assets</v>
          </cell>
          <cell r="D573" t="str">
            <v>Tangible Asset</v>
          </cell>
          <cell r="E573">
            <v>0</v>
          </cell>
          <cell r="F573">
            <v>0</v>
          </cell>
          <cell r="G573">
            <v>0</v>
          </cell>
          <cell r="H573">
            <v>0</v>
          </cell>
          <cell r="I573">
            <v>0</v>
          </cell>
          <cell r="J573">
            <v>0</v>
          </cell>
          <cell r="K573">
            <v>0</v>
          </cell>
          <cell r="L573">
            <v>0</v>
          </cell>
          <cell r="M573">
            <v>0</v>
          </cell>
          <cell r="N573">
            <v>0</v>
          </cell>
          <cell r="O573">
            <v>0</v>
          </cell>
          <cell r="P573">
            <v>0</v>
          </cell>
        </row>
        <row r="574">
          <cell r="A574" t="str">
            <v>Security Service Charges</v>
          </cell>
          <cell r="B574">
            <v>26</v>
          </cell>
          <cell r="C574" t="str">
            <v>Other Expenses</v>
          </cell>
          <cell r="D574" t="str">
            <v>Manufacturing Expenses - Security Service Charges</v>
          </cell>
          <cell r="E574">
            <v>689707</v>
          </cell>
          <cell r="F574">
            <v>0</v>
          </cell>
          <cell r="G574">
            <v>689707</v>
          </cell>
          <cell r="H574">
            <v>0</v>
          </cell>
          <cell r="I574">
            <v>0</v>
          </cell>
          <cell r="J574">
            <v>0</v>
          </cell>
          <cell r="K574">
            <v>693091</v>
          </cell>
          <cell r="L574">
            <v>0</v>
          </cell>
          <cell r="M574">
            <v>693091</v>
          </cell>
          <cell r="N574">
            <v>0</v>
          </cell>
          <cell r="O574">
            <v>0</v>
          </cell>
          <cell r="P574">
            <v>0</v>
          </cell>
        </row>
        <row r="575">
          <cell r="A575" t="str">
            <v>SEEMA ENTERPRISES</v>
          </cell>
          <cell r="B575">
            <v>7</v>
          </cell>
          <cell r="C575" t="str">
            <v>Trade Payables</v>
          </cell>
          <cell r="D575" t="str">
            <v>Trade Payables</v>
          </cell>
          <cell r="E575">
            <v>0</v>
          </cell>
          <cell r="F575">
            <v>0</v>
          </cell>
          <cell r="G575">
            <v>0</v>
          </cell>
          <cell r="H575">
            <v>0</v>
          </cell>
          <cell r="I575">
            <v>0</v>
          </cell>
          <cell r="J575">
            <v>0</v>
          </cell>
          <cell r="K575">
            <v>0</v>
          </cell>
          <cell r="L575">
            <v>0</v>
          </cell>
          <cell r="M575">
            <v>0</v>
          </cell>
          <cell r="N575">
            <v>0</v>
          </cell>
          <cell r="O575">
            <v>0</v>
          </cell>
          <cell r="P575">
            <v>0</v>
          </cell>
        </row>
        <row r="576">
          <cell r="A576" t="str">
            <v>Seion Enterprises</v>
          </cell>
          <cell r="B576">
            <v>7</v>
          </cell>
          <cell r="C576" t="str">
            <v>Trade Payables</v>
          </cell>
          <cell r="D576" t="str">
            <v>Trade Payables</v>
          </cell>
          <cell r="E576">
            <v>0</v>
          </cell>
          <cell r="F576">
            <v>0</v>
          </cell>
          <cell r="G576">
            <v>0</v>
          </cell>
          <cell r="H576">
            <v>0</v>
          </cell>
          <cell r="I576">
            <v>0</v>
          </cell>
          <cell r="J576">
            <v>0</v>
          </cell>
          <cell r="K576">
            <v>0</v>
          </cell>
          <cell r="L576">
            <v>0</v>
          </cell>
          <cell r="M576">
            <v>0</v>
          </cell>
          <cell r="N576">
            <v>0</v>
          </cell>
          <cell r="O576">
            <v>0</v>
          </cell>
          <cell r="P576">
            <v>0</v>
          </cell>
        </row>
        <row r="577">
          <cell r="A577" t="str">
            <v>Self Assessment Income Tax(A.Y.15-16)</v>
          </cell>
          <cell r="B577">
            <v>12</v>
          </cell>
          <cell r="C577" t="str">
            <v>Long Term Loans &amp; Advances</v>
          </cell>
          <cell r="D577" t="str">
            <v>Advance Income Tax</v>
          </cell>
          <cell r="E577">
            <v>0</v>
          </cell>
          <cell r="F577">
            <v>0</v>
          </cell>
          <cell r="G577">
            <v>0</v>
          </cell>
          <cell r="H577">
            <v>0</v>
          </cell>
          <cell r="I577">
            <v>0</v>
          </cell>
          <cell r="J577">
            <v>0</v>
          </cell>
          <cell r="K577">
            <v>0</v>
          </cell>
          <cell r="L577">
            <v>0</v>
          </cell>
          <cell r="M577">
            <v>0</v>
          </cell>
          <cell r="N577">
            <v>0</v>
          </cell>
          <cell r="O577">
            <v>0</v>
          </cell>
          <cell r="P577">
            <v>0</v>
          </cell>
        </row>
        <row r="578">
          <cell r="A578" t="str">
            <v>SEZ SALE (SPECIAL ECONOMIC ZONE)</v>
          </cell>
          <cell r="B578">
            <v>19</v>
          </cell>
          <cell r="C578" t="str">
            <v>Revenue From Operations</v>
          </cell>
          <cell r="D578" t="str">
            <v>Sale of Goods - Manufacturing Sales</v>
          </cell>
          <cell r="E578">
            <v>0</v>
          </cell>
          <cell r="F578">
            <v>0</v>
          </cell>
          <cell r="G578">
            <v>0</v>
          </cell>
          <cell r="H578">
            <v>21264856</v>
          </cell>
          <cell r="I578">
            <v>0</v>
          </cell>
          <cell r="J578">
            <v>21264856</v>
          </cell>
          <cell r="K578">
            <v>0</v>
          </cell>
          <cell r="L578">
            <v>0</v>
          </cell>
          <cell r="M578">
            <v>0</v>
          </cell>
          <cell r="N578">
            <v>35395001</v>
          </cell>
          <cell r="O578">
            <v>0</v>
          </cell>
          <cell r="P578">
            <v>35395001</v>
          </cell>
        </row>
        <row r="579">
          <cell r="A579" t="str">
            <v>SGST Payable ( F. Y. 2018-19)</v>
          </cell>
          <cell r="B579">
            <v>8</v>
          </cell>
          <cell r="C579" t="str">
            <v>Other Current Liabilities</v>
          </cell>
          <cell r="D579" t="str">
            <v>Statutory Dues</v>
          </cell>
          <cell r="E579">
            <v>0</v>
          </cell>
          <cell r="F579">
            <v>0</v>
          </cell>
          <cell r="G579">
            <v>0</v>
          </cell>
          <cell r="H579">
            <v>0</v>
          </cell>
          <cell r="I579">
            <v>0</v>
          </cell>
          <cell r="J579">
            <v>0</v>
          </cell>
          <cell r="K579">
            <v>0</v>
          </cell>
          <cell r="L579">
            <v>0</v>
          </cell>
          <cell r="M579">
            <v>0</v>
          </cell>
          <cell r="N579">
            <v>2167884.58</v>
          </cell>
          <cell r="O579">
            <v>0</v>
          </cell>
          <cell r="P579">
            <v>2167884.58</v>
          </cell>
        </row>
        <row r="580">
          <cell r="A580" t="str">
            <v>SGST PAYABLE (F.Y. 2017-18)</v>
          </cell>
          <cell r="B580">
            <v>8</v>
          </cell>
          <cell r="C580" t="str">
            <v>Other Current Liabilities</v>
          </cell>
          <cell r="D580" t="str">
            <v>Statutory Dues</v>
          </cell>
          <cell r="E580">
            <v>0</v>
          </cell>
          <cell r="F580">
            <v>0</v>
          </cell>
          <cell r="G580">
            <v>0</v>
          </cell>
          <cell r="H580">
            <v>0</v>
          </cell>
          <cell r="I580">
            <v>0</v>
          </cell>
          <cell r="J580">
            <v>0</v>
          </cell>
          <cell r="K580">
            <v>0</v>
          </cell>
          <cell r="L580">
            <v>0</v>
          </cell>
          <cell r="M580">
            <v>0</v>
          </cell>
          <cell r="N580">
            <v>106736.25</v>
          </cell>
          <cell r="O580">
            <v>0</v>
          </cell>
          <cell r="P580">
            <v>106736.25</v>
          </cell>
        </row>
        <row r="581">
          <cell r="A581" t="str">
            <v>Shah Baheti Chandak &amp; Co.</v>
          </cell>
          <cell r="B581">
            <v>7</v>
          </cell>
          <cell r="C581" t="str">
            <v>Trade Payables</v>
          </cell>
          <cell r="D581" t="str">
            <v>Trade Payables</v>
          </cell>
          <cell r="E581">
            <v>0</v>
          </cell>
          <cell r="F581">
            <v>0</v>
          </cell>
          <cell r="G581">
            <v>0</v>
          </cell>
          <cell r="H581">
            <v>0</v>
          </cell>
          <cell r="I581">
            <v>0</v>
          </cell>
          <cell r="J581">
            <v>0</v>
          </cell>
          <cell r="K581">
            <v>0</v>
          </cell>
          <cell r="L581">
            <v>0</v>
          </cell>
          <cell r="M581">
            <v>0</v>
          </cell>
          <cell r="N581">
            <v>32400</v>
          </cell>
          <cell r="O581">
            <v>0</v>
          </cell>
          <cell r="P581">
            <v>32400</v>
          </cell>
        </row>
        <row r="582">
          <cell r="A582" t="str">
            <v>Shahnawaj Khan</v>
          </cell>
          <cell r="B582">
            <v>12</v>
          </cell>
          <cell r="C582" t="str">
            <v>Long Term Loans &amp; Advances</v>
          </cell>
          <cell r="D582" t="str">
            <v>Loans and Advances to Employees</v>
          </cell>
          <cell r="E582">
            <v>0</v>
          </cell>
          <cell r="F582">
            <v>0</v>
          </cell>
          <cell r="G582">
            <v>0</v>
          </cell>
          <cell r="H582">
            <v>0</v>
          </cell>
          <cell r="I582">
            <v>0</v>
          </cell>
          <cell r="J582">
            <v>0</v>
          </cell>
          <cell r="K582">
            <v>2852</v>
          </cell>
          <cell r="L582">
            <v>0</v>
          </cell>
          <cell r="M582">
            <v>2852</v>
          </cell>
          <cell r="N582">
            <v>0</v>
          </cell>
          <cell r="O582">
            <v>0</v>
          </cell>
          <cell r="P582">
            <v>0</v>
          </cell>
        </row>
        <row r="583">
          <cell r="A583" t="str">
            <v>Shalimar Wire Industries Limited</v>
          </cell>
          <cell r="B583">
            <v>7</v>
          </cell>
          <cell r="C583" t="str">
            <v>Trade Payables</v>
          </cell>
          <cell r="D583" t="str">
            <v>Trade Payables</v>
          </cell>
          <cell r="E583">
            <v>0</v>
          </cell>
          <cell r="F583">
            <v>0</v>
          </cell>
          <cell r="G583">
            <v>0</v>
          </cell>
          <cell r="H583">
            <v>0</v>
          </cell>
          <cell r="I583">
            <v>0</v>
          </cell>
          <cell r="J583">
            <v>0</v>
          </cell>
          <cell r="K583">
            <v>0</v>
          </cell>
          <cell r="L583">
            <v>0</v>
          </cell>
          <cell r="M583">
            <v>0</v>
          </cell>
          <cell r="N583">
            <v>303693</v>
          </cell>
          <cell r="O583">
            <v>0</v>
          </cell>
          <cell r="P583">
            <v>303693</v>
          </cell>
        </row>
        <row r="584">
          <cell r="A584" t="str">
            <v>Shankar Traders (Sale)</v>
          </cell>
          <cell r="B584">
            <v>15</v>
          </cell>
          <cell r="C584" t="str">
            <v>Trade Receivables</v>
          </cell>
          <cell r="D584" t="str">
            <v>Other Debts</v>
          </cell>
          <cell r="E584">
            <v>1153357</v>
          </cell>
          <cell r="F584">
            <v>0</v>
          </cell>
          <cell r="G584">
            <v>1153357</v>
          </cell>
          <cell r="H584">
            <v>0</v>
          </cell>
          <cell r="I584">
            <v>0</v>
          </cell>
          <cell r="J584">
            <v>0</v>
          </cell>
          <cell r="K584">
            <v>0</v>
          </cell>
          <cell r="L584">
            <v>0</v>
          </cell>
          <cell r="M584">
            <v>0</v>
          </cell>
          <cell r="N584">
            <v>0</v>
          </cell>
          <cell r="O584">
            <v>0</v>
          </cell>
          <cell r="P584">
            <v>0</v>
          </cell>
        </row>
        <row r="585">
          <cell r="A585" t="str">
            <v>Shankar Trading Company</v>
          </cell>
          <cell r="B585">
            <v>15</v>
          </cell>
          <cell r="C585" t="str">
            <v>Trade Receivables</v>
          </cell>
          <cell r="D585" t="str">
            <v>Other Debts</v>
          </cell>
          <cell r="E585">
            <v>10</v>
          </cell>
          <cell r="F585">
            <v>0</v>
          </cell>
          <cell r="G585">
            <v>10</v>
          </cell>
          <cell r="H585">
            <v>0</v>
          </cell>
          <cell r="I585">
            <v>0</v>
          </cell>
          <cell r="J585">
            <v>0</v>
          </cell>
          <cell r="K585">
            <v>1378113</v>
          </cell>
          <cell r="L585">
            <v>0</v>
          </cell>
          <cell r="M585">
            <v>1378113</v>
          </cell>
          <cell r="N585">
            <v>0</v>
          </cell>
          <cell r="O585">
            <v>0</v>
          </cell>
          <cell r="P585">
            <v>0</v>
          </cell>
        </row>
        <row r="586">
          <cell r="A586" t="str">
            <v>SHARADCHANDRA P. SHAH AGENCY PVT. LTD. , MUMBAI</v>
          </cell>
          <cell r="B586">
            <v>7</v>
          </cell>
          <cell r="C586" t="str">
            <v>Trade Payables</v>
          </cell>
          <cell r="D586" t="str">
            <v>Trade Payables - Others</v>
          </cell>
          <cell r="E586">
            <v>0</v>
          </cell>
          <cell r="F586">
            <v>0</v>
          </cell>
          <cell r="G586">
            <v>0</v>
          </cell>
          <cell r="H586">
            <v>0</v>
          </cell>
          <cell r="I586">
            <v>0</v>
          </cell>
          <cell r="J586">
            <v>0</v>
          </cell>
          <cell r="K586">
            <v>4076</v>
          </cell>
          <cell r="L586">
            <v>0</v>
          </cell>
          <cell r="M586">
            <v>4076</v>
          </cell>
          <cell r="N586">
            <v>0</v>
          </cell>
          <cell r="O586">
            <v>0</v>
          </cell>
          <cell r="P586">
            <v>0</v>
          </cell>
        </row>
        <row r="587">
          <cell r="A587" t="str">
            <v>Shiba Sambhu Traders Odisha</v>
          </cell>
          <cell r="B587">
            <v>7</v>
          </cell>
          <cell r="C587" t="str">
            <v>Trade Payables</v>
          </cell>
          <cell r="D587" t="str">
            <v>Trade Payables</v>
          </cell>
          <cell r="E587">
            <v>0</v>
          </cell>
          <cell r="F587">
            <v>0</v>
          </cell>
          <cell r="G587">
            <v>0</v>
          </cell>
          <cell r="H587">
            <v>0</v>
          </cell>
          <cell r="I587">
            <v>0</v>
          </cell>
          <cell r="J587">
            <v>0</v>
          </cell>
          <cell r="K587">
            <v>0</v>
          </cell>
          <cell r="L587">
            <v>0</v>
          </cell>
          <cell r="M587">
            <v>0</v>
          </cell>
          <cell r="N587">
            <v>8510361.5</v>
          </cell>
          <cell r="O587">
            <v>0</v>
          </cell>
          <cell r="P587">
            <v>8510361.5</v>
          </cell>
        </row>
        <row r="588">
          <cell r="A588" t="str">
            <v>SHIVAM TRADERS, NAGPUR</v>
          </cell>
          <cell r="B588">
            <v>7</v>
          </cell>
          <cell r="C588" t="str">
            <v>Trade Payables</v>
          </cell>
          <cell r="D588" t="str">
            <v>Trade Payables</v>
          </cell>
          <cell r="E588">
            <v>0</v>
          </cell>
          <cell r="F588">
            <v>0</v>
          </cell>
          <cell r="G588">
            <v>0</v>
          </cell>
          <cell r="H588">
            <v>137081</v>
          </cell>
          <cell r="I588">
            <v>0</v>
          </cell>
          <cell r="J588">
            <v>137081</v>
          </cell>
          <cell r="K588">
            <v>0</v>
          </cell>
          <cell r="L588">
            <v>0</v>
          </cell>
          <cell r="M588">
            <v>0</v>
          </cell>
          <cell r="N588">
            <v>127269</v>
          </cell>
          <cell r="O588">
            <v>0</v>
          </cell>
          <cell r="P588">
            <v>127269</v>
          </cell>
        </row>
        <row r="589">
          <cell r="A589" t="str">
            <v>Short Provision Against Insu. Claim</v>
          </cell>
          <cell r="B589">
            <v>26</v>
          </cell>
          <cell r="C589" t="str">
            <v>Other Expenses</v>
          </cell>
          <cell r="D589" t="str">
            <v>Establishment Expenses-General Expenses</v>
          </cell>
          <cell r="E589">
            <v>0</v>
          </cell>
          <cell r="F589">
            <v>0</v>
          </cell>
          <cell r="G589">
            <v>0</v>
          </cell>
          <cell r="H589">
            <v>77175</v>
          </cell>
          <cell r="I589">
            <v>0</v>
          </cell>
          <cell r="J589">
            <v>77175</v>
          </cell>
          <cell r="K589">
            <v>0</v>
          </cell>
          <cell r="L589">
            <v>0</v>
          </cell>
          <cell r="M589">
            <v>0</v>
          </cell>
          <cell r="N589">
            <v>0</v>
          </cell>
          <cell r="O589">
            <v>0</v>
          </cell>
          <cell r="P589">
            <v>0</v>
          </cell>
        </row>
        <row r="590">
          <cell r="A590" t="str">
            <v>Short Provision for Income Tax</v>
          </cell>
          <cell r="B590">
            <v>0</v>
          </cell>
          <cell r="C590">
            <v>0</v>
          </cell>
          <cell r="D590">
            <v>0</v>
          </cell>
          <cell r="E590">
            <v>0</v>
          </cell>
          <cell r="F590">
            <v>0</v>
          </cell>
          <cell r="G590">
            <v>0</v>
          </cell>
          <cell r="H590">
            <v>0</v>
          </cell>
          <cell r="I590">
            <v>0</v>
          </cell>
          <cell r="J590">
            <v>0</v>
          </cell>
          <cell r="K590">
            <v>0</v>
          </cell>
          <cell r="L590">
            <v>0</v>
          </cell>
          <cell r="M590">
            <v>0</v>
          </cell>
          <cell r="N590">
            <v>0</v>
          </cell>
          <cell r="O590">
            <v>0</v>
          </cell>
          <cell r="P590">
            <v>0</v>
          </cell>
        </row>
        <row r="591">
          <cell r="A591" t="str">
            <v>Short Provision of Incentive/Bonus</v>
          </cell>
          <cell r="B591">
            <v>24</v>
          </cell>
          <cell r="C591" t="str">
            <v>Employee Benefit Expenses</v>
          </cell>
          <cell r="D591" t="str">
            <v>Salary &amp; Wages</v>
          </cell>
          <cell r="E591">
            <v>140595</v>
          </cell>
          <cell r="F591">
            <v>0</v>
          </cell>
          <cell r="G591">
            <v>140595</v>
          </cell>
          <cell r="H591">
            <v>0</v>
          </cell>
          <cell r="I591">
            <v>0</v>
          </cell>
          <cell r="J591">
            <v>0</v>
          </cell>
          <cell r="K591">
            <v>0</v>
          </cell>
          <cell r="L591">
            <v>0</v>
          </cell>
          <cell r="M591">
            <v>0</v>
          </cell>
          <cell r="N591">
            <v>13878</v>
          </cell>
          <cell r="O591">
            <v>0</v>
          </cell>
          <cell r="P591">
            <v>13878</v>
          </cell>
        </row>
        <row r="592">
          <cell r="A592" t="str">
            <v>SHREE FLEX PRINT PVT.LTD.</v>
          </cell>
          <cell r="B592">
            <v>15</v>
          </cell>
          <cell r="C592" t="str">
            <v>Trade Receivables</v>
          </cell>
          <cell r="D592" t="str">
            <v>Other Debts</v>
          </cell>
          <cell r="E592">
            <v>2980302</v>
          </cell>
          <cell r="F592">
            <v>0</v>
          </cell>
          <cell r="G592">
            <v>2980302</v>
          </cell>
          <cell r="H592">
            <v>0</v>
          </cell>
          <cell r="I592">
            <v>0</v>
          </cell>
          <cell r="J592">
            <v>0</v>
          </cell>
          <cell r="K592">
            <v>2024393</v>
          </cell>
          <cell r="L592">
            <v>0</v>
          </cell>
          <cell r="M592">
            <v>2024393</v>
          </cell>
          <cell r="N592">
            <v>0</v>
          </cell>
          <cell r="O592">
            <v>0</v>
          </cell>
          <cell r="P592">
            <v>0</v>
          </cell>
        </row>
        <row r="593">
          <cell r="A593" t="str">
            <v>Shri Balaji Tradelink</v>
          </cell>
          <cell r="B593">
            <v>7</v>
          </cell>
          <cell r="C593" t="str">
            <v>Trade Payables</v>
          </cell>
          <cell r="D593" t="str">
            <v>Trade Payables</v>
          </cell>
          <cell r="E593">
            <v>0</v>
          </cell>
          <cell r="F593">
            <v>0</v>
          </cell>
          <cell r="G593">
            <v>0</v>
          </cell>
          <cell r="H593">
            <v>3584869</v>
          </cell>
          <cell r="I593">
            <v>0</v>
          </cell>
          <cell r="J593">
            <v>3584869</v>
          </cell>
          <cell r="K593">
            <v>0</v>
          </cell>
          <cell r="L593">
            <v>0</v>
          </cell>
          <cell r="M593">
            <v>0</v>
          </cell>
          <cell r="N593">
            <v>2288867</v>
          </cell>
          <cell r="O593">
            <v>0</v>
          </cell>
          <cell r="P593">
            <v>2288867</v>
          </cell>
        </row>
        <row r="594">
          <cell r="A594" t="str">
            <v>SHRI SIDDHIVINAYAKA ENTERPRISES(Comm)</v>
          </cell>
          <cell r="B594">
            <v>15</v>
          </cell>
          <cell r="C594" t="str">
            <v>Trade Receivables</v>
          </cell>
          <cell r="D594" t="str">
            <v>Trade Receivables</v>
          </cell>
          <cell r="E594">
            <v>0</v>
          </cell>
          <cell r="F594">
            <v>0</v>
          </cell>
          <cell r="G594">
            <v>0</v>
          </cell>
          <cell r="H594">
            <v>0</v>
          </cell>
          <cell r="I594">
            <v>0</v>
          </cell>
          <cell r="J594">
            <v>0</v>
          </cell>
          <cell r="K594">
            <v>1443909.5</v>
          </cell>
          <cell r="L594">
            <v>-1443909.5</v>
          </cell>
          <cell r="M594">
            <v>0</v>
          </cell>
          <cell r="N594">
            <v>0</v>
          </cell>
          <cell r="O594">
            <v>0</v>
          </cell>
          <cell r="P594">
            <v>0</v>
          </cell>
        </row>
        <row r="595">
          <cell r="A595" t="str">
            <v>Shri Tradco Deesan Pvt. Ltd</v>
          </cell>
          <cell r="B595">
            <v>7</v>
          </cell>
          <cell r="C595" t="str">
            <v>Trade Payables</v>
          </cell>
          <cell r="D595" t="str">
            <v>Trade Payables</v>
          </cell>
          <cell r="E595">
            <v>0</v>
          </cell>
          <cell r="F595">
            <v>0</v>
          </cell>
          <cell r="G595">
            <v>0</v>
          </cell>
          <cell r="H595">
            <v>0</v>
          </cell>
          <cell r="I595">
            <v>0</v>
          </cell>
          <cell r="J595">
            <v>0</v>
          </cell>
          <cell r="K595">
            <v>0</v>
          </cell>
          <cell r="L595">
            <v>0</v>
          </cell>
          <cell r="M595">
            <v>0</v>
          </cell>
          <cell r="N595">
            <v>0</v>
          </cell>
          <cell r="O595">
            <v>0</v>
          </cell>
          <cell r="P595">
            <v>0</v>
          </cell>
        </row>
        <row r="596">
          <cell r="A596" t="str">
            <v>Shriram Packers</v>
          </cell>
          <cell r="B596">
            <v>15</v>
          </cell>
          <cell r="C596" t="str">
            <v>Trade Receivables</v>
          </cell>
          <cell r="D596" t="str">
            <v>Other Debts</v>
          </cell>
          <cell r="E596">
            <v>0</v>
          </cell>
          <cell r="F596">
            <v>0</v>
          </cell>
          <cell r="G596">
            <v>0</v>
          </cell>
          <cell r="H596">
            <v>0</v>
          </cell>
          <cell r="I596">
            <v>0</v>
          </cell>
          <cell r="J596">
            <v>0</v>
          </cell>
          <cell r="K596">
            <v>175720</v>
          </cell>
          <cell r="L596">
            <v>0</v>
          </cell>
          <cell r="M596">
            <v>175720</v>
          </cell>
          <cell r="N596">
            <v>0</v>
          </cell>
          <cell r="O596">
            <v>0</v>
          </cell>
          <cell r="P596">
            <v>0</v>
          </cell>
        </row>
        <row r="597">
          <cell r="A597" t="str">
            <v>SHUBH PACK</v>
          </cell>
          <cell r="B597">
            <v>15</v>
          </cell>
          <cell r="C597" t="str">
            <v>Trade Receivables</v>
          </cell>
          <cell r="D597" t="str">
            <v>Other Debts</v>
          </cell>
          <cell r="E597">
            <v>0</v>
          </cell>
          <cell r="F597">
            <v>0</v>
          </cell>
          <cell r="G597">
            <v>0</v>
          </cell>
          <cell r="H597">
            <v>0</v>
          </cell>
          <cell r="I597">
            <v>0</v>
          </cell>
          <cell r="J597">
            <v>0</v>
          </cell>
          <cell r="K597">
            <v>398247</v>
          </cell>
          <cell r="L597">
            <v>0</v>
          </cell>
          <cell r="M597">
            <v>398247</v>
          </cell>
          <cell r="N597">
            <v>0</v>
          </cell>
          <cell r="O597">
            <v>0</v>
          </cell>
          <cell r="P597">
            <v>0</v>
          </cell>
        </row>
        <row r="598">
          <cell r="A598" t="str">
            <v>SHUBHAM ENTERPRISES</v>
          </cell>
          <cell r="B598">
            <v>7</v>
          </cell>
          <cell r="C598" t="str">
            <v>Trade Payables</v>
          </cell>
          <cell r="D598" t="str">
            <v>Trade Payables</v>
          </cell>
          <cell r="E598">
            <v>0</v>
          </cell>
          <cell r="F598">
            <v>0</v>
          </cell>
          <cell r="G598">
            <v>0</v>
          </cell>
          <cell r="H598">
            <v>145449</v>
          </cell>
          <cell r="I598">
            <v>0</v>
          </cell>
          <cell r="J598">
            <v>145449</v>
          </cell>
          <cell r="K598">
            <v>0</v>
          </cell>
          <cell r="L598">
            <v>0</v>
          </cell>
          <cell r="M598">
            <v>0</v>
          </cell>
          <cell r="N598">
            <v>194140</v>
          </cell>
          <cell r="O598">
            <v>0</v>
          </cell>
          <cell r="P598">
            <v>194140</v>
          </cell>
        </row>
        <row r="599">
          <cell r="A599" t="str">
            <v>SHUBHAM ENTERPRISES (SALE)</v>
          </cell>
          <cell r="B599">
            <v>15</v>
          </cell>
          <cell r="C599" t="str">
            <v>Trade Receivables</v>
          </cell>
          <cell r="D599" t="str">
            <v>Other Debts</v>
          </cell>
          <cell r="E599">
            <v>0</v>
          </cell>
          <cell r="F599">
            <v>0</v>
          </cell>
          <cell r="G599">
            <v>0</v>
          </cell>
          <cell r="H599">
            <v>0</v>
          </cell>
          <cell r="I599">
            <v>0</v>
          </cell>
          <cell r="J599">
            <v>0</v>
          </cell>
          <cell r="K599">
            <v>0</v>
          </cell>
          <cell r="L599">
            <v>0</v>
          </cell>
          <cell r="M599">
            <v>0</v>
          </cell>
          <cell r="N599">
            <v>0</v>
          </cell>
          <cell r="O599">
            <v>0</v>
          </cell>
          <cell r="P599">
            <v>0</v>
          </cell>
        </row>
        <row r="600">
          <cell r="A600" t="str">
            <v>SIZE REBATE</v>
          </cell>
          <cell r="B600">
            <v>19</v>
          </cell>
          <cell r="C600" t="str">
            <v>Revenue From Operations</v>
          </cell>
          <cell r="D600" t="str">
            <v>Sale of Goods - Manufacturing Sales</v>
          </cell>
          <cell r="E600">
            <v>100400</v>
          </cell>
          <cell r="F600">
            <v>0</v>
          </cell>
          <cell r="G600">
            <v>100400</v>
          </cell>
          <cell r="H600">
            <v>0</v>
          </cell>
          <cell r="I600">
            <v>0</v>
          </cell>
          <cell r="J600">
            <v>0</v>
          </cell>
          <cell r="K600">
            <v>116242.2</v>
          </cell>
          <cell r="L600">
            <v>0</v>
          </cell>
          <cell r="M600">
            <v>116242.2</v>
          </cell>
          <cell r="N600">
            <v>0</v>
          </cell>
          <cell r="O600">
            <v>0</v>
          </cell>
          <cell r="P600">
            <v>0</v>
          </cell>
        </row>
        <row r="601">
          <cell r="A601" t="str">
            <v>Snehlata A. Lakhotiya</v>
          </cell>
          <cell r="B601">
            <v>4</v>
          </cell>
          <cell r="C601" t="str">
            <v>Long Term Borrowings</v>
          </cell>
          <cell r="D601" t="str">
            <v>Unsecured-From Related Party</v>
          </cell>
          <cell r="E601">
            <v>0</v>
          </cell>
          <cell r="F601">
            <v>0</v>
          </cell>
          <cell r="G601">
            <v>0</v>
          </cell>
          <cell r="H601">
            <v>1749357</v>
          </cell>
          <cell r="I601">
            <v>0</v>
          </cell>
          <cell r="J601">
            <v>1749357</v>
          </cell>
          <cell r="K601">
            <v>0</v>
          </cell>
          <cell r="L601">
            <v>0</v>
          </cell>
          <cell r="M601">
            <v>0</v>
          </cell>
          <cell r="N601">
            <v>1600001</v>
          </cell>
          <cell r="O601">
            <v>0</v>
          </cell>
          <cell r="P601">
            <v>1600001</v>
          </cell>
        </row>
        <row r="602">
          <cell r="A602" t="str">
            <v>SOURAV INDUSTRIES (Sales)</v>
          </cell>
          <cell r="B602">
            <v>15</v>
          </cell>
          <cell r="C602" t="str">
            <v>Trade Receivables</v>
          </cell>
          <cell r="D602" t="str">
            <v>Other Debts</v>
          </cell>
          <cell r="E602">
            <v>0</v>
          </cell>
          <cell r="F602">
            <v>0</v>
          </cell>
          <cell r="G602">
            <v>0</v>
          </cell>
          <cell r="H602">
            <v>0</v>
          </cell>
          <cell r="I602">
            <v>0</v>
          </cell>
          <cell r="J602">
            <v>0</v>
          </cell>
          <cell r="K602">
            <v>0</v>
          </cell>
          <cell r="L602">
            <v>0</v>
          </cell>
          <cell r="M602">
            <v>0</v>
          </cell>
          <cell r="N602">
            <v>0</v>
          </cell>
          <cell r="O602">
            <v>0</v>
          </cell>
          <cell r="P602">
            <v>0</v>
          </cell>
        </row>
        <row r="603">
          <cell r="A603" t="str">
            <v>Span Communications</v>
          </cell>
          <cell r="B603">
            <v>7</v>
          </cell>
          <cell r="C603" t="str">
            <v>Trade Payables</v>
          </cell>
          <cell r="D603" t="str">
            <v>Trade Payables</v>
          </cell>
          <cell r="E603">
            <v>0</v>
          </cell>
          <cell r="F603">
            <v>0</v>
          </cell>
          <cell r="G603">
            <v>0</v>
          </cell>
          <cell r="H603">
            <v>0</v>
          </cell>
          <cell r="I603">
            <v>0</v>
          </cell>
          <cell r="J603">
            <v>0</v>
          </cell>
          <cell r="K603">
            <v>0</v>
          </cell>
          <cell r="L603">
            <v>0</v>
          </cell>
          <cell r="M603">
            <v>0</v>
          </cell>
          <cell r="N603">
            <v>0</v>
          </cell>
          <cell r="O603">
            <v>0</v>
          </cell>
          <cell r="P603">
            <v>0</v>
          </cell>
        </row>
        <row r="604">
          <cell r="A604" t="str">
            <v>SREERAM PACKING INDUSTRIES</v>
          </cell>
          <cell r="B604">
            <v>15</v>
          </cell>
          <cell r="C604" t="str">
            <v>Trade Receivables</v>
          </cell>
          <cell r="D604" t="str">
            <v>Trade Receivables</v>
          </cell>
          <cell r="E604">
            <v>0</v>
          </cell>
          <cell r="F604">
            <v>0</v>
          </cell>
          <cell r="G604">
            <v>0</v>
          </cell>
          <cell r="H604">
            <v>0</v>
          </cell>
          <cell r="I604">
            <v>0</v>
          </cell>
          <cell r="J604">
            <v>0</v>
          </cell>
          <cell r="K604">
            <v>1247028</v>
          </cell>
          <cell r="L604">
            <v>-1247028</v>
          </cell>
          <cell r="M604">
            <v>0</v>
          </cell>
          <cell r="N604">
            <v>0</v>
          </cell>
          <cell r="O604">
            <v>0</v>
          </cell>
          <cell r="P604">
            <v>0</v>
          </cell>
        </row>
        <row r="605">
          <cell r="A605" t="str">
            <v>SRI SHAKUMBARI PACKAGING IND. (KEDAR)</v>
          </cell>
          <cell r="B605">
            <v>15</v>
          </cell>
          <cell r="C605" t="str">
            <v>Trade Receivables</v>
          </cell>
          <cell r="D605" t="str">
            <v>Other Debts</v>
          </cell>
          <cell r="E605">
            <v>0</v>
          </cell>
          <cell r="F605">
            <v>0</v>
          </cell>
          <cell r="G605">
            <v>0</v>
          </cell>
          <cell r="H605">
            <v>0</v>
          </cell>
          <cell r="I605">
            <v>0</v>
          </cell>
          <cell r="J605">
            <v>0</v>
          </cell>
          <cell r="K605">
            <v>0</v>
          </cell>
          <cell r="L605">
            <v>0</v>
          </cell>
          <cell r="M605">
            <v>0</v>
          </cell>
          <cell r="N605">
            <v>0</v>
          </cell>
          <cell r="O605">
            <v>0</v>
          </cell>
          <cell r="P605">
            <v>0</v>
          </cell>
        </row>
        <row r="606">
          <cell r="A606" t="str">
            <v>Sridevi Agencies</v>
          </cell>
          <cell r="B606">
            <v>15</v>
          </cell>
          <cell r="C606" t="str">
            <v>Trade Receivables</v>
          </cell>
          <cell r="D606" t="str">
            <v>Other Debts</v>
          </cell>
          <cell r="E606">
            <v>0</v>
          </cell>
          <cell r="F606">
            <v>0</v>
          </cell>
          <cell r="G606">
            <v>0</v>
          </cell>
          <cell r="H606">
            <v>0</v>
          </cell>
          <cell r="I606">
            <v>0</v>
          </cell>
          <cell r="J606">
            <v>0</v>
          </cell>
          <cell r="K606">
            <v>0</v>
          </cell>
          <cell r="L606">
            <v>0</v>
          </cell>
          <cell r="M606">
            <v>0</v>
          </cell>
          <cell r="N606">
            <v>0</v>
          </cell>
          <cell r="O606">
            <v>0</v>
          </cell>
          <cell r="P606">
            <v>0</v>
          </cell>
        </row>
        <row r="607">
          <cell r="A607" t="str">
            <v>Staff Profession Tax Payable</v>
          </cell>
          <cell r="B607">
            <v>8</v>
          </cell>
          <cell r="C607" t="str">
            <v>Other Current Liabilities</v>
          </cell>
          <cell r="D607" t="str">
            <v>Statutory Dues</v>
          </cell>
          <cell r="E607">
            <v>0</v>
          </cell>
          <cell r="F607">
            <v>0</v>
          </cell>
          <cell r="G607">
            <v>0</v>
          </cell>
          <cell r="H607">
            <v>10225</v>
          </cell>
          <cell r="I607">
            <v>0</v>
          </cell>
          <cell r="J607">
            <v>10225</v>
          </cell>
          <cell r="K607">
            <v>0</v>
          </cell>
          <cell r="L607">
            <v>0</v>
          </cell>
          <cell r="M607">
            <v>0</v>
          </cell>
          <cell r="N607">
            <v>10825</v>
          </cell>
          <cell r="O607">
            <v>0</v>
          </cell>
          <cell r="P607">
            <v>10825</v>
          </cell>
        </row>
        <row r="608">
          <cell r="A608" t="str">
            <v>Staff Quarters</v>
          </cell>
          <cell r="B608">
            <v>10</v>
          </cell>
          <cell r="C608" t="str">
            <v>Fixed Assets</v>
          </cell>
          <cell r="D608" t="str">
            <v>Tangible Asset</v>
          </cell>
          <cell r="E608">
            <v>0</v>
          </cell>
          <cell r="F608">
            <v>0</v>
          </cell>
          <cell r="G608">
            <v>0</v>
          </cell>
          <cell r="H608">
            <v>0</v>
          </cell>
          <cell r="I608">
            <v>0</v>
          </cell>
          <cell r="J608">
            <v>0</v>
          </cell>
          <cell r="K608">
            <v>0</v>
          </cell>
          <cell r="L608">
            <v>0</v>
          </cell>
          <cell r="M608">
            <v>0</v>
          </cell>
          <cell r="N608">
            <v>0</v>
          </cell>
          <cell r="O608">
            <v>0</v>
          </cell>
          <cell r="P608">
            <v>0</v>
          </cell>
        </row>
        <row r="609">
          <cell r="A609" t="str">
            <v>Staff Welfare Expenses</v>
          </cell>
          <cell r="B609">
            <v>24</v>
          </cell>
          <cell r="C609" t="str">
            <v>Employee Benefit Expenses</v>
          </cell>
          <cell r="D609" t="str">
            <v>Staff Welfare Expenses</v>
          </cell>
          <cell r="E609">
            <v>0</v>
          </cell>
          <cell r="F609">
            <v>0</v>
          </cell>
          <cell r="G609">
            <v>0</v>
          </cell>
          <cell r="H609">
            <v>0</v>
          </cell>
          <cell r="I609">
            <v>0</v>
          </cell>
          <cell r="J609">
            <v>0</v>
          </cell>
          <cell r="K609">
            <v>26048</v>
          </cell>
          <cell r="L609">
            <v>0</v>
          </cell>
          <cell r="M609">
            <v>26048</v>
          </cell>
          <cell r="N609">
            <v>0</v>
          </cell>
          <cell r="O609">
            <v>0</v>
          </cell>
          <cell r="P609">
            <v>0</v>
          </cell>
        </row>
        <row r="610">
          <cell r="A610" t="str">
            <v>State Bank Of India C.C.,Sme Br.</v>
          </cell>
          <cell r="B610">
            <v>6</v>
          </cell>
          <cell r="C610" t="str">
            <v>Short Term Borrowings</v>
          </cell>
          <cell r="D610" t="str">
            <v>Secured - From Banks - Working Capital Loan</v>
          </cell>
          <cell r="E610">
            <v>0</v>
          </cell>
          <cell r="F610">
            <v>0</v>
          </cell>
          <cell r="G610">
            <v>0</v>
          </cell>
          <cell r="H610">
            <v>61846818.590000004</v>
          </cell>
          <cell r="I610">
            <v>0</v>
          </cell>
          <cell r="J610">
            <v>61846818.590000004</v>
          </cell>
          <cell r="K610">
            <v>0</v>
          </cell>
          <cell r="L610">
            <v>0</v>
          </cell>
          <cell r="M610">
            <v>0</v>
          </cell>
          <cell r="N610">
            <v>55675684.390000001</v>
          </cell>
          <cell r="O610">
            <v>0</v>
          </cell>
          <cell r="P610">
            <v>55675684.390000001</v>
          </cell>
        </row>
        <row r="611">
          <cell r="A611" t="str">
            <v>State Compensation on Cess</v>
          </cell>
          <cell r="B611">
            <v>26</v>
          </cell>
          <cell r="C611" t="str">
            <v>Other Expenses</v>
          </cell>
          <cell r="D611" t="str">
            <v>Manufacturing Expenses - Power &amp; Fuel Consumed</v>
          </cell>
          <cell r="E611">
            <v>5558970</v>
          </cell>
          <cell r="F611">
            <v>0</v>
          </cell>
          <cell r="G611">
            <v>5558970</v>
          </cell>
          <cell r="H611">
            <v>0</v>
          </cell>
          <cell r="I611">
            <v>0</v>
          </cell>
          <cell r="J611">
            <v>0</v>
          </cell>
          <cell r="K611">
            <v>5413556</v>
          </cell>
          <cell r="L611">
            <v>0</v>
          </cell>
          <cell r="M611">
            <v>5413556</v>
          </cell>
          <cell r="N611">
            <v>0</v>
          </cell>
          <cell r="O611">
            <v>0</v>
          </cell>
          <cell r="P611">
            <v>0</v>
          </cell>
        </row>
        <row r="612">
          <cell r="A612" t="str">
            <v>Stationery &amp; Printing Charges</v>
          </cell>
          <cell r="B612">
            <v>26</v>
          </cell>
          <cell r="C612" t="str">
            <v>Other Expenses</v>
          </cell>
          <cell r="D612" t="str">
            <v>Establishment Expenses-Printing &amp; Stationery</v>
          </cell>
          <cell r="E612">
            <v>237277.27</v>
          </cell>
          <cell r="F612">
            <v>0</v>
          </cell>
          <cell r="G612">
            <v>237277.27</v>
          </cell>
          <cell r="H612">
            <v>0</v>
          </cell>
          <cell r="I612">
            <v>0</v>
          </cell>
          <cell r="J612">
            <v>0</v>
          </cell>
          <cell r="K612">
            <v>202817.87</v>
          </cell>
          <cell r="L612">
            <v>0</v>
          </cell>
          <cell r="M612">
            <v>202817.87</v>
          </cell>
          <cell r="N612">
            <v>0</v>
          </cell>
          <cell r="O612">
            <v>0</v>
          </cell>
          <cell r="P612">
            <v>0</v>
          </cell>
        </row>
        <row r="613">
          <cell r="A613" t="str">
            <v>Statutory Audit Fees (Darak &amp; Asso)</v>
          </cell>
          <cell r="B613">
            <v>26</v>
          </cell>
          <cell r="C613" t="str">
            <v>Other Expenses</v>
          </cell>
          <cell r="D613" t="str">
            <v>Establishment Expenses-Auditors Remuneration</v>
          </cell>
          <cell r="E613">
            <v>250000</v>
          </cell>
          <cell r="F613">
            <v>0</v>
          </cell>
          <cell r="G613">
            <v>250000</v>
          </cell>
          <cell r="H613">
            <v>0</v>
          </cell>
          <cell r="I613">
            <v>0</v>
          </cell>
          <cell r="J613">
            <v>0</v>
          </cell>
          <cell r="K613">
            <v>250000</v>
          </cell>
          <cell r="L613">
            <v>0</v>
          </cell>
          <cell r="M613">
            <v>250000</v>
          </cell>
          <cell r="N613">
            <v>0</v>
          </cell>
          <cell r="O613">
            <v>0</v>
          </cell>
          <cell r="P613">
            <v>0</v>
          </cell>
        </row>
        <row r="614">
          <cell r="A614" t="str">
            <v>Statutory Audit Fees : (Walter)</v>
          </cell>
          <cell r="B614">
            <v>26</v>
          </cell>
          <cell r="C614" t="str">
            <v>Other Expenses</v>
          </cell>
          <cell r="D614" t="str">
            <v>Establishment Expenses-Auditors Remuneration</v>
          </cell>
          <cell r="E614">
            <v>0</v>
          </cell>
          <cell r="F614">
            <v>0</v>
          </cell>
          <cell r="G614">
            <v>0</v>
          </cell>
          <cell r="H614">
            <v>0</v>
          </cell>
          <cell r="I614">
            <v>0</v>
          </cell>
          <cell r="J614">
            <v>0</v>
          </cell>
          <cell r="K614">
            <v>0</v>
          </cell>
          <cell r="L614">
            <v>0</v>
          </cell>
          <cell r="M614">
            <v>0</v>
          </cell>
          <cell r="N614">
            <v>0</v>
          </cell>
          <cell r="O614">
            <v>0</v>
          </cell>
          <cell r="P614">
            <v>0</v>
          </cell>
        </row>
        <row r="615">
          <cell r="A615" t="str">
            <v>Stock Audit Bank Charges</v>
          </cell>
          <cell r="B615">
            <v>25</v>
          </cell>
          <cell r="C615" t="str">
            <v>Finance Costs</v>
          </cell>
          <cell r="D615" t="str">
            <v>Other Borrowing Costs</v>
          </cell>
          <cell r="E615">
            <v>0</v>
          </cell>
          <cell r="F615">
            <v>0</v>
          </cell>
          <cell r="G615">
            <v>0</v>
          </cell>
          <cell r="H615">
            <v>0</v>
          </cell>
          <cell r="I615">
            <v>0</v>
          </cell>
          <cell r="J615">
            <v>0</v>
          </cell>
          <cell r="K615">
            <v>20000</v>
          </cell>
          <cell r="L615">
            <v>0</v>
          </cell>
          <cell r="M615">
            <v>20000</v>
          </cell>
          <cell r="N615">
            <v>0</v>
          </cell>
          <cell r="O615">
            <v>0</v>
          </cell>
          <cell r="P615">
            <v>0</v>
          </cell>
        </row>
        <row r="616">
          <cell r="A616" t="str">
            <v>Store Adjacent to Office</v>
          </cell>
          <cell r="B616">
            <v>10</v>
          </cell>
          <cell r="C616" t="str">
            <v>Fixed Assets</v>
          </cell>
          <cell r="D616" t="str">
            <v>Tangible Asset</v>
          </cell>
          <cell r="E616">
            <v>0</v>
          </cell>
          <cell r="F616">
            <v>0</v>
          </cell>
          <cell r="G616">
            <v>0</v>
          </cell>
          <cell r="H616">
            <v>0</v>
          </cell>
          <cell r="I616">
            <v>0</v>
          </cell>
          <cell r="J616">
            <v>0</v>
          </cell>
          <cell r="K616">
            <v>0</v>
          </cell>
          <cell r="L616">
            <v>0</v>
          </cell>
          <cell r="M616">
            <v>0</v>
          </cell>
          <cell r="N616">
            <v>0</v>
          </cell>
          <cell r="O616">
            <v>0</v>
          </cell>
          <cell r="P616">
            <v>0</v>
          </cell>
        </row>
        <row r="617">
          <cell r="A617" t="str">
            <v>SUHANI ENTERPRISES</v>
          </cell>
          <cell r="B617">
            <v>15</v>
          </cell>
          <cell r="C617" t="str">
            <v>Trade Receivables</v>
          </cell>
          <cell r="D617" t="str">
            <v>Other Debts</v>
          </cell>
          <cell r="E617">
            <v>0</v>
          </cell>
          <cell r="F617">
            <v>0</v>
          </cell>
          <cell r="G617">
            <v>0</v>
          </cell>
          <cell r="H617">
            <v>0</v>
          </cell>
          <cell r="I617">
            <v>0</v>
          </cell>
          <cell r="J617">
            <v>0</v>
          </cell>
          <cell r="K617">
            <v>0</v>
          </cell>
          <cell r="L617">
            <v>0</v>
          </cell>
          <cell r="M617">
            <v>0</v>
          </cell>
          <cell r="N617">
            <v>0</v>
          </cell>
          <cell r="O617">
            <v>0</v>
          </cell>
          <cell r="P617">
            <v>0</v>
          </cell>
        </row>
        <row r="618">
          <cell r="A618" t="str">
            <v>Sumed Borkar</v>
          </cell>
          <cell r="B618">
            <v>12</v>
          </cell>
          <cell r="C618" t="str">
            <v>Long Term Loans &amp; Advances</v>
          </cell>
          <cell r="D618" t="str">
            <v>Loans and Advances to Employees</v>
          </cell>
          <cell r="E618">
            <v>73000</v>
          </cell>
          <cell r="F618">
            <v>0</v>
          </cell>
          <cell r="G618">
            <v>73000</v>
          </cell>
          <cell r="H618">
            <v>0</v>
          </cell>
          <cell r="I618">
            <v>0</v>
          </cell>
          <cell r="J618">
            <v>0</v>
          </cell>
          <cell r="K618">
            <v>5000</v>
          </cell>
          <cell r="L618">
            <v>0</v>
          </cell>
          <cell r="M618">
            <v>5000</v>
          </cell>
          <cell r="N618">
            <v>0</v>
          </cell>
          <cell r="O618">
            <v>0</v>
          </cell>
          <cell r="P618">
            <v>0</v>
          </cell>
        </row>
        <row r="619">
          <cell r="A619" t="str">
            <v>Summit Agencies</v>
          </cell>
          <cell r="B619">
            <v>7</v>
          </cell>
          <cell r="C619" t="str">
            <v>Trade Payables</v>
          </cell>
          <cell r="D619" t="str">
            <v>Trade Payables</v>
          </cell>
          <cell r="E619">
            <v>0</v>
          </cell>
          <cell r="F619">
            <v>0</v>
          </cell>
          <cell r="G619">
            <v>0</v>
          </cell>
          <cell r="H619">
            <v>64723</v>
          </cell>
          <cell r="I619">
            <v>0</v>
          </cell>
          <cell r="J619">
            <v>64723</v>
          </cell>
          <cell r="K619">
            <v>0</v>
          </cell>
          <cell r="L619">
            <v>0</v>
          </cell>
          <cell r="M619">
            <v>0</v>
          </cell>
          <cell r="N619">
            <v>192538</v>
          </cell>
          <cell r="O619">
            <v>0</v>
          </cell>
          <cell r="P619">
            <v>192538</v>
          </cell>
        </row>
        <row r="620">
          <cell r="A620" t="str">
            <v>SUNDARAM FINANCE LTD : N006700059(CAR Loan)</v>
          </cell>
          <cell r="B620">
            <v>4</v>
          </cell>
          <cell r="C620" t="str">
            <v>Long Term Borrowings</v>
          </cell>
          <cell r="D620" t="str">
            <v>Secured - From Other - Term Loan</v>
          </cell>
          <cell r="E620">
            <v>0</v>
          </cell>
          <cell r="F620">
            <v>0</v>
          </cell>
          <cell r="G620">
            <v>0</v>
          </cell>
          <cell r="H620">
            <v>0</v>
          </cell>
          <cell r="I620">
            <v>0</v>
          </cell>
          <cell r="J620">
            <v>0</v>
          </cell>
          <cell r="K620">
            <v>0</v>
          </cell>
          <cell r="L620">
            <v>0</v>
          </cell>
          <cell r="M620">
            <v>0</v>
          </cell>
          <cell r="N620">
            <v>114949</v>
          </cell>
          <cell r="O620">
            <v>0</v>
          </cell>
          <cell r="P620">
            <v>114949</v>
          </cell>
        </row>
        <row r="621">
          <cell r="A621" t="str">
            <v>SUNDARAM FINANCE LTD :N006700064 (ForkLift)</v>
          </cell>
          <cell r="B621">
            <v>4</v>
          </cell>
          <cell r="C621" t="str">
            <v>Long Term Borrowings</v>
          </cell>
          <cell r="D621" t="str">
            <v>Secured - From Other - Term Loan</v>
          </cell>
          <cell r="E621">
            <v>0</v>
          </cell>
          <cell r="F621">
            <v>0</v>
          </cell>
          <cell r="G621">
            <v>0</v>
          </cell>
          <cell r="H621">
            <v>29242</v>
          </cell>
          <cell r="I621">
            <v>0</v>
          </cell>
          <cell r="J621">
            <v>29242</v>
          </cell>
          <cell r="K621">
            <v>0</v>
          </cell>
          <cell r="L621">
            <v>0</v>
          </cell>
          <cell r="M621">
            <v>0</v>
          </cell>
          <cell r="N621">
            <v>459137</v>
          </cell>
          <cell r="O621">
            <v>0</v>
          </cell>
          <cell r="P621">
            <v>459137</v>
          </cell>
        </row>
        <row r="622">
          <cell r="A622" t="str">
            <v>SUNDARAM FINANCE LTD :N036300010 (Tractor)</v>
          </cell>
          <cell r="B622">
            <v>4</v>
          </cell>
          <cell r="C622" t="str">
            <v>Long Term Borrowings</v>
          </cell>
          <cell r="D622" t="str">
            <v>Secured - From Other - Term Loan</v>
          </cell>
          <cell r="E622">
            <v>0</v>
          </cell>
          <cell r="F622">
            <v>0</v>
          </cell>
          <cell r="G622">
            <v>0</v>
          </cell>
          <cell r="H622">
            <v>94333</v>
          </cell>
          <cell r="I622">
            <v>0</v>
          </cell>
          <cell r="J622">
            <v>94333</v>
          </cell>
          <cell r="K622">
            <v>0</v>
          </cell>
          <cell r="L622">
            <v>0</v>
          </cell>
          <cell r="M622">
            <v>0</v>
          </cell>
          <cell r="N622">
            <v>484174</v>
          </cell>
          <cell r="O622">
            <v>0</v>
          </cell>
          <cell r="P622">
            <v>484174</v>
          </cell>
        </row>
        <row r="623">
          <cell r="A623" t="str">
            <v>Sundry Balance W/Off</v>
          </cell>
          <cell r="B623">
            <v>26</v>
          </cell>
          <cell r="C623" t="str">
            <v>Other Expenses</v>
          </cell>
          <cell r="D623" t="str">
            <v>Establishment Expenses-General Expenses</v>
          </cell>
          <cell r="E623">
            <v>183007.6</v>
          </cell>
          <cell r="F623">
            <v>0</v>
          </cell>
          <cell r="G623">
            <v>183007.6</v>
          </cell>
          <cell r="H623">
            <v>0</v>
          </cell>
          <cell r="I623">
            <v>0</v>
          </cell>
          <cell r="J623">
            <v>0</v>
          </cell>
          <cell r="K623">
            <v>0</v>
          </cell>
          <cell r="L623">
            <v>0</v>
          </cell>
          <cell r="M623">
            <v>0</v>
          </cell>
          <cell r="N623">
            <v>63097.05</v>
          </cell>
          <cell r="O623">
            <v>0</v>
          </cell>
          <cell r="P623">
            <v>63097.05</v>
          </cell>
        </row>
        <row r="624">
          <cell r="A624" t="str">
            <v>Sunil Enterprises (SALE)</v>
          </cell>
          <cell r="B624">
            <v>15</v>
          </cell>
          <cell r="C624" t="str">
            <v>Trade Receivables</v>
          </cell>
          <cell r="D624" t="str">
            <v>Other Debts</v>
          </cell>
          <cell r="E624">
            <v>1168754</v>
          </cell>
          <cell r="F624">
            <v>0</v>
          </cell>
          <cell r="G624">
            <v>1168754</v>
          </cell>
          <cell r="H624">
            <v>0</v>
          </cell>
          <cell r="I624">
            <v>0</v>
          </cell>
          <cell r="J624">
            <v>0</v>
          </cell>
          <cell r="K624">
            <v>1029518</v>
          </cell>
          <cell r="L624">
            <v>0</v>
          </cell>
          <cell r="M624">
            <v>1029518</v>
          </cell>
          <cell r="N624">
            <v>0</v>
          </cell>
          <cell r="O624">
            <v>0</v>
          </cell>
          <cell r="P624">
            <v>0</v>
          </cell>
        </row>
        <row r="625">
          <cell r="A625" t="str">
            <v>Suryakant Sadawarti</v>
          </cell>
          <cell r="B625">
            <v>12</v>
          </cell>
          <cell r="C625" t="str">
            <v>Long Term Loans &amp; Advances</v>
          </cell>
          <cell r="D625" t="str">
            <v>Loans and Advances to Employees</v>
          </cell>
          <cell r="E625">
            <v>0</v>
          </cell>
          <cell r="F625">
            <v>0</v>
          </cell>
          <cell r="G625">
            <v>0</v>
          </cell>
          <cell r="H625">
            <v>0</v>
          </cell>
          <cell r="I625">
            <v>0</v>
          </cell>
          <cell r="J625">
            <v>0</v>
          </cell>
          <cell r="K625">
            <v>12000</v>
          </cell>
          <cell r="L625">
            <v>0</v>
          </cell>
          <cell r="M625">
            <v>12000</v>
          </cell>
          <cell r="N625">
            <v>0</v>
          </cell>
          <cell r="O625">
            <v>0</v>
          </cell>
          <cell r="P625">
            <v>0</v>
          </cell>
        </row>
        <row r="626">
          <cell r="A626" t="str">
            <v>SURYANSH PAPERS, NAGPUR</v>
          </cell>
          <cell r="B626">
            <v>15</v>
          </cell>
          <cell r="C626" t="str">
            <v>Trade Receivables</v>
          </cell>
          <cell r="D626" t="str">
            <v>Other Debts</v>
          </cell>
          <cell r="E626">
            <v>0</v>
          </cell>
          <cell r="F626">
            <v>0</v>
          </cell>
          <cell r="G626">
            <v>0</v>
          </cell>
          <cell r="H626">
            <v>0</v>
          </cell>
          <cell r="I626">
            <v>0</v>
          </cell>
          <cell r="J626">
            <v>0</v>
          </cell>
          <cell r="K626">
            <v>0</v>
          </cell>
          <cell r="L626">
            <v>0</v>
          </cell>
          <cell r="M626">
            <v>0</v>
          </cell>
          <cell r="N626">
            <v>0</v>
          </cell>
          <cell r="O626">
            <v>0</v>
          </cell>
          <cell r="P626">
            <v>0</v>
          </cell>
        </row>
        <row r="627">
          <cell r="A627" t="str">
            <v>SWASTIK PAPER BOX</v>
          </cell>
          <cell r="B627">
            <v>15</v>
          </cell>
          <cell r="C627" t="str">
            <v>Trade Receivables</v>
          </cell>
          <cell r="D627" t="str">
            <v>Other Debts</v>
          </cell>
          <cell r="E627">
            <v>0</v>
          </cell>
          <cell r="F627">
            <v>0</v>
          </cell>
          <cell r="G627">
            <v>0</v>
          </cell>
          <cell r="H627">
            <v>0</v>
          </cell>
          <cell r="I627">
            <v>0</v>
          </cell>
          <cell r="J627">
            <v>0</v>
          </cell>
          <cell r="K627">
            <v>235492</v>
          </cell>
          <cell r="L627">
            <v>0</v>
          </cell>
          <cell r="M627">
            <v>235492</v>
          </cell>
          <cell r="N627">
            <v>0</v>
          </cell>
          <cell r="O627">
            <v>0</v>
          </cell>
          <cell r="P627">
            <v>0</v>
          </cell>
        </row>
        <row r="628">
          <cell r="A628" t="str">
            <v>Tanisha Resins P. Ltd., Nagpur</v>
          </cell>
          <cell r="B628">
            <v>7</v>
          </cell>
          <cell r="C628" t="str">
            <v>Trade Payables</v>
          </cell>
          <cell r="D628" t="str">
            <v>Trade Payables</v>
          </cell>
          <cell r="E628">
            <v>0</v>
          </cell>
          <cell r="F628">
            <v>0</v>
          </cell>
          <cell r="G628">
            <v>0</v>
          </cell>
          <cell r="H628">
            <v>351168</v>
          </cell>
          <cell r="I628">
            <v>0</v>
          </cell>
          <cell r="J628">
            <v>351168</v>
          </cell>
          <cell r="K628">
            <v>0</v>
          </cell>
          <cell r="L628">
            <v>0</v>
          </cell>
          <cell r="M628">
            <v>0</v>
          </cell>
          <cell r="N628">
            <v>267860</v>
          </cell>
          <cell r="O628">
            <v>0</v>
          </cell>
          <cell r="P628">
            <v>267860</v>
          </cell>
        </row>
        <row r="629">
          <cell r="A629" t="str">
            <v>Tcs (A. Y. 2014-15)</v>
          </cell>
          <cell r="B629">
            <v>12</v>
          </cell>
          <cell r="C629" t="str">
            <v>Long Term Loans &amp; Advances</v>
          </cell>
          <cell r="D629" t="str">
            <v>Advance Income Tax</v>
          </cell>
          <cell r="E629">
            <v>0</v>
          </cell>
          <cell r="F629">
            <v>0</v>
          </cell>
          <cell r="G629">
            <v>0</v>
          </cell>
          <cell r="H629">
            <v>0</v>
          </cell>
          <cell r="I629">
            <v>0</v>
          </cell>
          <cell r="J629">
            <v>0</v>
          </cell>
          <cell r="K629">
            <v>0</v>
          </cell>
          <cell r="L629">
            <v>0</v>
          </cell>
          <cell r="M629">
            <v>0</v>
          </cell>
          <cell r="N629">
            <v>0</v>
          </cell>
          <cell r="O629">
            <v>0</v>
          </cell>
          <cell r="P629">
            <v>0</v>
          </cell>
        </row>
        <row r="630">
          <cell r="A630" t="str">
            <v>Tcs (A.Y. 2005-06)</v>
          </cell>
          <cell r="B630">
            <v>12</v>
          </cell>
          <cell r="C630" t="str">
            <v>Long Term Loans &amp; Advances</v>
          </cell>
          <cell r="D630" t="str">
            <v>Advance Income Tax</v>
          </cell>
          <cell r="E630">
            <v>0</v>
          </cell>
          <cell r="F630">
            <v>0</v>
          </cell>
          <cell r="G630">
            <v>0</v>
          </cell>
          <cell r="H630">
            <v>0</v>
          </cell>
          <cell r="I630">
            <v>0</v>
          </cell>
          <cell r="J630">
            <v>0</v>
          </cell>
          <cell r="K630">
            <v>0</v>
          </cell>
          <cell r="L630">
            <v>0</v>
          </cell>
          <cell r="M630">
            <v>0</v>
          </cell>
          <cell r="N630">
            <v>0</v>
          </cell>
          <cell r="O630">
            <v>0</v>
          </cell>
          <cell r="P630">
            <v>0</v>
          </cell>
        </row>
        <row r="631">
          <cell r="A631" t="str">
            <v>Tcs (A.Y. 2008-09)</v>
          </cell>
          <cell r="B631">
            <v>12</v>
          </cell>
          <cell r="C631" t="str">
            <v>Long Term Loans &amp; Advances</v>
          </cell>
          <cell r="D631" t="str">
            <v>Advance Income Tax</v>
          </cell>
          <cell r="E631">
            <v>0</v>
          </cell>
          <cell r="F631">
            <v>0</v>
          </cell>
          <cell r="G631">
            <v>0</v>
          </cell>
          <cell r="H631">
            <v>0</v>
          </cell>
          <cell r="I631">
            <v>0</v>
          </cell>
          <cell r="J631">
            <v>0</v>
          </cell>
          <cell r="K631">
            <v>0</v>
          </cell>
          <cell r="L631">
            <v>0</v>
          </cell>
          <cell r="M631">
            <v>0</v>
          </cell>
          <cell r="N631">
            <v>0</v>
          </cell>
          <cell r="O631">
            <v>0</v>
          </cell>
          <cell r="P631">
            <v>0</v>
          </cell>
        </row>
        <row r="632">
          <cell r="A632" t="str">
            <v>Tcs (A.Y. 2013-14)</v>
          </cell>
          <cell r="B632">
            <v>12</v>
          </cell>
          <cell r="C632" t="str">
            <v>Long Term Loans &amp; Advances</v>
          </cell>
          <cell r="D632" t="str">
            <v>Advance Income Tax</v>
          </cell>
          <cell r="E632">
            <v>0</v>
          </cell>
          <cell r="F632">
            <v>0</v>
          </cell>
          <cell r="G632">
            <v>0</v>
          </cell>
          <cell r="H632">
            <v>0</v>
          </cell>
          <cell r="I632">
            <v>0</v>
          </cell>
          <cell r="J632">
            <v>0</v>
          </cell>
          <cell r="K632">
            <v>0</v>
          </cell>
          <cell r="L632">
            <v>0</v>
          </cell>
          <cell r="M632">
            <v>0</v>
          </cell>
          <cell r="N632">
            <v>0</v>
          </cell>
          <cell r="O632">
            <v>0</v>
          </cell>
          <cell r="P632">
            <v>0</v>
          </cell>
        </row>
        <row r="633">
          <cell r="A633" t="str">
            <v>TCS (A.Y. 2015-16)</v>
          </cell>
          <cell r="B633">
            <v>12</v>
          </cell>
          <cell r="C633" t="str">
            <v>Long Term Loans &amp; Advances</v>
          </cell>
          <cell r="D633" t="str">
            <v>Advance Income Tax</v>
          </cell>
          <cell r="E633">
            <v>0</v>
          </cell>
          <cell r="F633">
            <v>0</v>
          </cell>
          <cell r="G633">
            <v>0</v>
          </cell>
          <cell r="H633">
            <v>0</v>
          </cell>
          <cell r="I633">
            <v>0</v>
          </cell>
          <cell r="J633">
            <v>0</v>
          </cell>
          <cell r="K633">
            <v>0</v>
          </cell>
          <cell r="L633">
            <v>0</v>
          </cell>
          <cell r="M633">
            <v>0</v>
          </cell>
          <cell r="N633">
            <v>0</v>
          </cell>
          <cell r="O633">
            <v>0</v>
          </cell>
          <cell r="P633">
            <v>0</v>
          </cell>
        </row>
        <row r="634">
          <cell r="A634" t="str">
            <v>TCS (A.Y. 2016-17)</v>
          </cell>
          <cell r="B634">
            <v>12</v>
          </cell>
          <cell r="C634" t="str">
            <v>Long Term Loans &amp; Advances</v>
          </cell>
          <cell r="D634" t="str">
            <v>Advance Income Tax</v>
          </cell>
          <cell r="E634">
            <v>0</v>
          </cell>
          <cell r="F634">
            <v>0</v>
          </cell>
          <cell r="G634">
            <v>0</v>
          </cell>
          <cell r="H634">
            <v>0</v>
          </cell>
          <cell r="I634">
            <v>0</v>
          </cell>
          <cell r="J634">
            <v>0</v>
          </cell>
          <cell r="K634">
            <v>0</v>
          </cell>
          <cell r="L634">
            <v>0</v>
          </cell>
          <cell r="M634">
            <v>0</v>
          </cell>
          <cell r="N634">
            <v>0</v>
          </cell>
          <cell r="O634">
            <v>0</v>
          </cell>
          <cell r="P634">
            <v>0</v>
          </cell>
        </row>
        <row r="635">
          <cell r="A635" t="str">
            <v>TCS (A.Y. 2017-18)</v>
          </cell>
          <cell r="B635">
            <v>12</v>
          </cell>
          <cell r="C635" t="str">
            <v>Long Term Loans &amp; Advances</v>
          </cell>
          <cell r="D635" t="str">
            <v>Advance Income Tax</v>
          </cell>
          <cell r="E635">
            <v>0</v>
          </cell>
          <cell r="F635">
            <v>0</v>
          </cell>
          <cell r="G635">
            <v>0</v>
          </cell>
          <cell r="H635">
            <v>0</v>
          </cell>
          <cell r="I635">
            <v>0</v>
          </cell>
          <cell r="J635">
            <v>0</v>
          </cell>
          <cell r="K635">
            <v>0</v>
          </cell>
          <cell r="L635">
            <v>0</v>
          </cell>
          <cell r="M635">
            <v>0</v>
          </cell>
          <cell r="N635">
            <v>0</v>
          </cell>
          <cell r="O635">
            <v>0</v>
          </cell>
          <cell r="P635">
            <v>0</v>
          </cell>
        </row>
        <row r="636">
          <cell r="A636" t="str">
            <v>TCS (A.Y. 2018-19)</v>
          </cell>
          <cell r="B636">
            <v>12</v>
          </cell>
          <cell r="C636" t="str">
            <v>Long Term Loans &amp; Advances</v>
          </cell>
          <cell r="D636" t="str">
            <v>Advance Income Tax</v>
          </cell>
          <cell r="E636">
            <v>0</v>
          </cell>
          <cell r="F636">
            <v>0</v>
          </cell>
          <cell r="G636">
            <v>0</v>
          </cell>
          <cell r="H636">
            <v>0</v>
          </cell>
          <cell r="I636">
            <v>0</v>
          </cell>
          <cell r="J636">
            <v>0</v>
          </cell>
          <cell r="K636">
            <v>0</v>
          </cell>
          <cell r="L636">
            <v>0</v>
          </cell>
          <cell r="M636">
            <v>0</v>
          </cell>
          <cell r="N636">
            <v>0</v>
          </cell>
          <cell r="O636">
            <v>0</v>
          </cell>
          <cell r="P636">
            <v>0</v>
          </cell>
        </row>
        <row r="637">
          <cell r="A637" t="str">
            <v>TDS  (A. Y. 2018-19)</v>
          </cell>
          <cell r="B637">
            <v>12</v>
          </cell>
          <cell r="C637" t="str">
            <v>Long Term Loans &amp; Advances</v>
          </cell>
          <cell r="D637" t="str">
            <v>Advance Income Tax</v>
          </cell>
          <cell r="E637">
            <v>0</v>
          </cell>
          <cell r="F637">
            <v>0</v>
          </cell>
          <cell r="G637">
            <v>0</v>
          </cell>
          <cell r="H637">
            <v>0</v>
          </cell>
          <cell r="I637">
            <v>0</v>
          </cell>
          <cell r="J637">
            <v>0</v>
          </cell>
          <cell r="K637">
            <v>0</v>
          </cell>
          <cell r="L637">
            <v>0</v>
          </cell>
          <cell r="M637">
            <v>0</v>
          </cell>
          <cell r="N637">
            <v>0</v>
          </cell>
          <cell r="O637">
            <v>0</v>
          </cell>
          <cell r="P637">
            <v>0</v>
          </cell>
        </row>
        <row r="638">
          <cell r="A638" t="str">
            <v>TDS  (A. Y. 2019-20)</v>
          </cell>
          <cell r="B638">
            <v>12</v>
          </cell>
          <cell r="C638" t="str">
            <v>Long Term Loans &amp; Advances</v>
          </cell>
          <cell r="D638" t="str">
            <v>Advance Income Tax</v>
          </cell>
          <cell r="E638">
            <v>19841</v>
          </cell>
          <cell r="F638">
            <v>0</v>
          </cell>
          <cell r="G638">
            <v>19841</v>
          </cell>
          <cell r="H638">
            <v>0</v>
          </cell>
          <cell r="I638">
            <v>0</v>
          </cell>
          <cell r="J638">
            <v>0</v>
          </cell>
          <cell r="K638">
            <v>19841</v>
          </cell>
          <cell r="L638">
            <v>0</v>
          </cell>
          <cell r="M638">
            <v>19841</v>
          </cell>
          <cell r="N638">
            <v>0</v>
          </cell>
          <cell r="O638">
            <v>0</v>
          </cell>
          <cell r="P638">
            <v>0</v>
          </cell>
        </row>
        <row r="639">
          <cell r="A639" t="str">
            <v>Tds  Payable On  Professional</v>
          </cell>
          <cell r="B639">
            <v>8</v>
          </cell>
          <cell r="C639" t="str">
            <v>Other Current Liabilities</v>
          </cell>
          <cell r="D639" t="str">
            <v>Statutory Dues</v>
          </cell>
          <cell r="E639">
            <v>0</v>
          </cell>
          <cell r="F639">
            <v>0</v>
          </cell>
          <cell r="G639">
            <v>0</v>
          </cell>
          <cell r="H639">
            <v>87060</v>
          </cell>
          <cell r="I639">
            <v>0</v>
          </cell>
          <cell r="J639">
            <v>87060</v>
          </cell>
          <cell r="K639">
            <v>0</v>
          </cell>
          <cell r="L639">
            <v>0</v>
          </cell>
          <cell r="M639">
            <v>0</v>
          </cell>
          <cell r="N639">
            <v>82885</v>
          </cell>
          <cell r="O639">
            <v>0</v>
          </cell>
          <cell r="P639">
            <v>82885</v>
          </cell>
        </row>
        <row r="640">
          <cell r="A640" t="str">
            <v>Tds (A.Y. 2005-06)</v>
          </cell>
          <cell r="B640">
            <v>12</v>
          </cell>
          <cell r="C640" t="str">
            <v>Long Term Loans &amp; Advances</v>
          </cell>
          <cell r="D640" t="str">
            <v>Advance Income Tax</v>
          </cell>
          <cell r="E640">
            <v>0</v>
          </cell>
          <cell r="F640">
            <v>0</v>
          </cell>
          <cell r="G640">
            <v>0</v>
          </cell>
          <cell r="H640">
            <v>0</v>
          </cell>
          <cell r="I640">
            <v>0</v>
          </cell>
          <cell r="J640">
            <v>0</v>
          </cell>
          <cell r="K640">
            <v>0</v>
          </cell>
          <cell r="L640">
            <v>0</v>
          </cell>
          <cell r="M640">
            <v>0</v>
          </cell>
          <cell r="N640">
            <v>0</v>
          </cell>
          <cell r="O640">
            <v>0</v>
          </cell>
          <cell r="P640">
            <v>0</v>
          </cell>
        </row>
        <row r="641">
          <cell r="A641" t="str">
            <v>Tds (A.Y. 2008-09)</v>
          </cell>
          <cell r="B641">
            <v>12</v>
          </cell>
          <cell r="C641" t="str">
            <v>Long Term Loans &amp; Advances</v>
          </cell>
          <cell r="D641" t="str">
            <v>Advance Income Tax</v>
          </cell>
          <cell r="E641">
            <v>0</v>
          </cell>
          <cell r="F641">
            <v>0</v>
          </cell>
          <cell r="G641">
            <v>0</v>
          </cell>
          <cell r="H641">
            <v>0</v>
          </cell>
          <cell r="I641">
            <v>0</v>
          </cell>
          <cell r="J641">
            <v>0</v>
          </cell>
          <cell r="K641">
            <v>0</v>
          </cell>
          <cell r="L641">
            <v>0</v>
          </cell>
          <cell r="M641">
            <v>0</v>
          </cell>
          <cell r="N641">
            <v>0</v>
          </cell>
          <cell r="O641">
            <v>0</v>
          </cell>
          <cell r="P641">
            <v>0</v>
          </cell>
        </row>
        <row r="642">
          <cell r="A642" t="str">
            <v>Tds (A.Y. 2011-12)</v>
          </cell>
          <cell r="B642">
            <v>12</v>
          </cell>
          <cell r="C642" t="str">
            <v>Long Term Loans &amp; Advances</v>
          </cell>
          <cell r="D642" t="str">
            <v>Advance Income Tax</v>
          </cell>
          <cell r="E642">
            <v>0</v>
          </cell>
          <cell r="F642">
            <v>0</v>
          </cell>
          <cell r="G642">
            <v>0</v>
          </cell>
          <cell r="H642">
            <v>0</v>
          </cell>
          <cell r="I642">
            <v>0</v>
          </cell>
          <cell r="J642">
            <v>0</v>
          </cell>
          <cell r="K642">
            <v>0</v>
          </cell>
          <cell r="L642">
            <v>0</v>
          </cell>
          <cell r="M642">
            <v>0</v>
          </cell>
          <cell r="N642">
            <v>0</v>
          </cell>
          <cell r="O642">
            <v>0</v>
          </cell>
          <cell r="P642">
            <v>0</v>
          </cell>
        </row>
        <row r="643">
          <cell r="A643" t="str">
            <v>TDS (A.Y. 2015-16)</v>
          </cell>
          <cell r="B643">
            <v>12</v>
          </cell>
          <cell r="C643" t="str">
            <v>Long Term Loans &amp; Advances</v>
          </cell>
          <cell r="D643" t="str">
            <v>Advance Income Tax</v>
          </cell>
          <cell r="E643">
            <v>0</v>
          </cell>
          <cell r="F643">
            <v>0</v>
          </cell>
          <cell r="G643">
            <v>0</v>
          </cell>
          <cell r="H643">
            <v>0</v>
          </cell>
          <cell r="I643">
            <v>0</v>
          </cell>
          <cell r="J643">
            <v>0</v>
          </cell>
          <cell r="K643">
            <v>0</v>
          </cell>
          <cell r="L643">
            <v>0</v>
          </cell>
          <cell r="M643">
            <v>0</v>
          </cell>
          <cell r="N643">
            <v>0</v>
          </cell>
          <cell r="O643">
            <v>0</v>
          </cell>
          <cell r="P643">
            <v>0</v>
          </cell>
        </row>
        <row r="644">
          <cell r="A644" t="str">
            <v>TDS (A.Y. 2017-18)</v>
          </cell>
          <cell r="B644">
            <v>12</v>
          </cell>
          <cell r="C644" t="str">
            <v>Long Term Loans &amp; Advances</v>
          </cell>
          <cell r="D644" t="str">
            <v>Advance Income Tax</v>
          </cell>
          <cell r="E644">
            <v>0</v>
          </cell>
          <cell r="F644">
            <v>0</v>
          </cell>
          <cell r="G644">
            <v>0</v>
          </cell>
          <cell r="H644">
            <v>0</v>
          </cell>
          <cell r="I644">
            <v>0</v>
          </cell>
          <cell r="J644">
            <v>0</v>
          </cell>
          <cell r="K644">
            <v>0</v>
          </cell>
          <cell r="L644">
            <v>0</v>
          </cell>
          <cell r="M644">
            <v>0</v>
          </cell>
          <cell r="N644">
            <v>0</v>
          </cell>
          <cell r="O644">
            <v>0</v>
          </cell>
          <cell r="P644">
            <v>0</v>
          </cell>
        </row>
        <row r="645">
          <cell r="A645" t="str">
            <v>Tds (A.Y.2013-14)</v>
          </cell>
          <cell r="B645">
            <v>12</v>
          </cell>
          <cell r="C645" t="str">
            <v>Long Term Loans &amp; Advances</v>
          </cell>
          <cell r="D645" t="str">
            <v>Advance Income Tax</v>
          </cell>
          <cell r="E645">
            <v>0</v>
          </cell>
          <cell r="F645">
            <v>0</v>
          </cell>
          <cell r="G645">
            <v>0</v>
          </cell>
          <cell r="H645">
            <v>0</v>
          </cell>
          <cell r="I645">
            <v>0</v>
          </cell>
          <cell r="J645">
            <v>0</v>
          </cell>
          <cell r="K645">
            <v>0</v>
          </cell>
          <cell r="L645">
            <v>0</v>
          </cell>
          <cell r="M645">
            <v>0</v>
          </cell>
          <cell r="N645">
            <v>0</v>
          </cell>
          <cell r="O645">
            <v>0</v>
          </cell>
          <cell r="P645">
            <v>0</v>
          </cell>
        </row>
        <row r="646">
          <cell r="A646" t="str">
            <v>TDS (A.Y.2014-15)</v>
          </cell>
          <cell r="B646">
            <v>12</v>
          </cell>
          <cell r="C646" t="str">
            <v>Long Term Loans &amp; Advances</v>
          </cell>
          <cell r="D646" t="str">
            <v>Advance Income Tax</v>
          </cell>
          <cell r="E646">
            <v>0</v>
          </cell>
          <cell r="F646">
            <v>0</v>
          </cell>
          <cell r="G646">
            <v>0</v>
          </cell>
          <cell r="H646">
            <v>0</v>
          </cell>
          <cell r="I646">
            <v>0</v>
          </cell>
          <cell r="J646">
            <v>0</v>
          </cell>
          <cell r="K646">
            <v>0</v>
          </cell>
          <cell r="L646">
            <v>0</v>
          </cell>
          <cell r="M646">
            <v>0</v>
          </cell>
          <cell r="N646">
            <v>0</v>
          </cell>
          <cell r="O646">
            <v>0</v>
          </cell>
          <cell r="P646">
            <v>0</v>
          </cell>
        </row>
        <row r="647">
          <cell r="A647" t="str">
            <v>TDS A.Y. (2016-17)</v>
          </cell>
          <cell r="B647">
            <v>12</v>
          </cell>
          <cell r="C647" t="str">
            <v>Long Term Loans &amp; Advances</v>
          </cell>
          <cell r="D647" t="str">
            <v>Advance Income Tax</v>
          </cell>
          <cell r="E647">
            <v>0</v>
          </cell>
          <cell r="F647">
            <v>0</v>
          </cell>
          <cell r="G647">
            <v>0</v>
          </cell>
          <cell r="H647">
            <v>0</v>
          </cell>
          <cell r="I647">
            <v>0</v>
          </cell>
          <cell r="J647">
            <v>0</v>
          </cell>
          <cell r="K647">
            <v>0</v>
          </cell>
          <cell r="L647">
            <v>0</v>
          </cell>
          <cell r="M647">
            <v>0</v>
          </cell>
          <cell r="N647">
            <v>0</v>
          </cell>
          <cell r="O647">
            <v>0</v>
          </cell>
          <cell r="P647">
            <v>0</v>
          </cell>
        </row>
        <row r="648">
          <cell r="A648" t="str">
            <v>TDS Excess Paid FY 15-16</v>
          </cell>
          <cell r="B648">
            <v>12</v>
          </cell>
          <cell r="C648" t="str">
            <v>Long Term Loans &amp; Advances</v>
          </cell>
          <cell r="D648" t="str">
            <v>Advance Income Tax</v>
          </cell>
          <cell r="E648">
            <v>0</v>
          </cell>
          <cell r="F648">
            <v>0</v>
          </cell>
          <cell r="G648">
            <v>0</v>
          </cell>
          <cell r="H648">
            <v>0</v>
          </cell>
          <cell r="I648">
            <v>0</v>
          </cell>
          <cell r="J648">
            <v>0</v>
          </cell>
          <cell r="K648">
            <v>4717</v>
          </cell>
          <cell r="L648">
            <v>0</v>
          </cell>
          <cell r="M648">
            <v>4717</v>
          </cell>
          <cell r="N648">
            <v>0</v>
          </cell>
          <cell r="O648">
            <v>0</v>
          </cell>
          <cell r="P648">
            <v>0</v>
          </cell>
        </row>
        <row r="649">
          <cell r="A649" t="str">
            <v>Tds Payable  On Office Rent</v>
          </cell>
          <cell r="B649">
            <v>8</v>
          </cell>
          <cell r="C649" t="str">
            <v>Other Current Liabilities</v>
          </cell>
          <cell r="D649" t="str">
            <v>Statutory Dues</v>
          </cell>
          <cell r="E649">
            <v>0</v>
          </cell>
          <cell r="F649">
            <v>0</v>
          </cell>
          <cell r="G649">
            <v>0</v>
          </cell>
          <cell r="H649">
            <v>3900</v>
          </cell>
          <cell r="I649">
            <v>0</v>
          </cell>
          <cell r="J649">
            <v>3900</v>
          </cell>
          <cell r="K649">
            <v>0</v>
          </cell>
          <cell r="L649">
            <v>0</v>
          </cell>
          <cell r="M649">
            <v>0</v>
          </cell>
          <cell r="N649">
            <v>3900</v>
          </cell>
          <cell r="O649">
            <v>0</v>
          </cell>
          <cell r="P649">
            <v>3900</v>
          </cell>
        </row>
        <row r="650">
          <cell r="A650" t="str">
            <v>TDS Payable Dealers Commission</v>
          </cell>
          <cell r="B650">
            <v>8</v>
          </cell>
          <cell r="C650" t="str">
            <v>Other Current Liabilities</v>
          </cell>
          <cell r="D650" t="str">
            <v>Statutory Dues</v>
          </cell>
          <cell r="E650">
            <v>0</v>
          </cell>
          <cell r="F650">
            <v>0</v>
          </cell>
          <cell r="G650">
            <v>0</v>
          </cell>
          <cell r="H650">
            <v>5038</v>
          </cell>
          <cell r="I650">
            <v>0</v>
          </cell>
          <cell r="J650">
            <v>5038</v>
          </cell>
          <cell r="K650">
            <v>0</v>
          </cell>
          <cell r="L650">
            <v>0</v>
          </cell>
          <cell r="M650">
            <v>0</v>
          </cell>
          <cell r="N650">
            <v>6255</v>
          </cell>
          <cell r="O650">
            <v>0</v>
          </cell>
          <cell r="P650">
            <v>6255</v>
          </cell>
        </row>
        <row r="651">
          <cell r="A651" t="str">
            <v>TDS Payable on Commission</v>
          </cell>
          <cell r="B651">
            <v>8</v>
          </cell>
          <cell r="C651" t="str">
            <v>Other Current Liabilities</v>
          </cell>
          <cell r="D651" t="str">
            <v>Statutory Dues</v>
          </cell>
          <cell r="E651">
            <v>0</v>
          </cell>
          <cell r="F651">
            <v>0</v>
          </cell>
          <cell r="G651">
            <v>0</v>
          </cell>
          <cell r="H651">
            <v>0</v>
          </cell>
          <cell r="I651">
            <v>0</v>
          </cell>
          <cell r="J651">
            <v>0</v>
          </cell>
          <cell r="K651">
            <v>0</v>
          </cell>
          <cell r="L651">
            <v>0</v>
          </cell>
          <cell r="M651">
            <v>0</v>
          </cell>
          <cell r="N651">
            <v>15973</v>
          </cell>
          <cell r="O651">
            <v>0</v>
          </cell>
          <cell r="P651">
            <v>15973</v>
          </cell>
        </row>
        <row r="652">
          <cell r="A652" t="str">
            <v>Tds Payable On Contractors</v>
          </cell>
          <cell r="B652">
            <v>8</v>
          </cell>
          <cell r="C652" t="str">
            <v>Other Current Liabilities</v>
          </cell>
          <cell r="D652" t="str">
            <v>Statutory Dues</v>
          </cell>
          <cell r="E652">
            <v>0</v>
          </cell>
          <cell r="F652">
            <v>0</v>
          </cell>
          <cell r="G652">
            <v>0</v>
          </cell>
          <cell r="H652">
            <v>16096.04</v>
          </cell>
          <cell r="I652">
            <v>0</v>
          </cell>
          <cell r="J652">
            <v>16096.04</v>
          </cell>
          <cell r="K652">
            <v>0</v>
          </cell>
          <cell r="L652">
            <v>0</v>
          </cell>
          <cell r="M652">
            <v>0</v>
          </cell>
          <cell r="N652">
            <v>9720.0400000000009</v>
          </cell>
          <cell r="O652">
            <v>0</v>
          </cell>
          <cell r="P652">
            <v>9720.0400000000009</v>
          </cell>
        </row>
        <row r="653">
          <cell r="A653" t="str">
            <v>Tds Payable On Interest</v>
          </cell>
          <cell r="B653">
            <v>8</v>
          </cell>
          <cell r="C653" t="str">
            <v>Other Current Liabilities</v>
          </cell>
          <cell r="D653" t="str">
            <v>Statutory Dues</v>
          </cell>
          <cell r="E653">
            <v>0</v>
          </cell>
          <cell r="F653">
            <v>0</v>
          </cell>
          <cell r="G653">
            <v>0</v>
          </cell>
          <cell r="H653">
            <v>47856</v>
          </cell>
          <cell r="I653">
            <v>0</v>
          </cell>
          <cell r="J653">
            <v>47856</v>
          </cell>
          <cell r="K653">
            <v>0</v>
          </cell>
          <cell r="L653">
            <v>0</v>
          </cell>
          <cell r="M653">
            <v>0</v>
          </cell>
          <cell r="N653">
            <v>63570</v>
          </cell>
          <cell r="O653">
            <v>0</v>
          </cell>
          <cell r="P653">
            <v>63570</v>
          </cell>
        </row>
        <row r="654">
          <cell r="A654" t="str">
            <v>Tds Payable On Salary</v>
          </cell>
          <cell r="B654">
            <v>8</v>
          </cell>
          <cell r="C654" t="str">
            <v>Other Current Liabilities</v>
          </cell>
          <cell r="D654" t="str">
            <v>Statutory Dues</v>
          </cell>
          <cell r="E654">
            <v>0</v>
          </cell>
          <cell r="F654">
            <v>0</v>
          </cell>
          <cell r="G654">
            <v>0</v>
          </cell>
          <cell r="H654">
            <v>1977</v>
          </cell>
          <cell r="I654">
            <v>0</v>
          </cell>
          <cell r="J654">
            <v>1977</v>
          </cell>
          <cell r="K654">
            <v>0</v>
          </cell>
          <cell r="L654">
            <v>0</v>
          </cell>
          <cell r="M654">
            <v>0</v>
          </cell>
          <cell r="N654">
            <v>1977</v>
          </cell>
          <cell r="O654">
            <v>0</v>
          </cell>
          <cell r="P654">
            <v>1977</v>
          </cell>
        </row>
        <row r="655">
          <cell r="A655" t="str">
            <v>TDS Payable on Transporter</v>
          </cell>
          <cell r="B655">
            <v>8</v>
          </cell>
          <cell r="C655" t="str">
            <v>Other Current Liabilities</v>
          </cell>
          <cell r="D655" t="str">
            <v>Statutory Dues</v>
          </cell>
          <cell r="E655">
            <v>0</v>
          </cell>
          <cell r="F655">
            <v>0</v>
          </cell>
          <cell r="G655">
            <v>0</v>
          </cell>
          <cell r="H655">
            <v>50893.4</v>
          </cell>
          <cell r="I655">
            <v>0</v>
          </cell>
          <cell r="J655">
            <v>50893.4</v>
          </cell>
          <cell r="K655">
            <v>0</v>
          </cell>
          <cell r="L655">
            <v>0</v>
          </cell>
          <cell r="M655">
            <v>0</v>
          </cell>
          <cell r="N655">
            <v>814.4</v>
          </cell>
          <cell r="O655">
            <v>0</v>
          </cell>
          <cell r="P655">
            <v>814.4</v>
          </cell>
        </row>
        <row r="656">
          <cell r="A656" t="str">
            <v>TDSPAYABLE ON REMUNERATION</v>
          </cell>
          <cell r="B656">
            <v>8</v>
          </cell>
          <cell r="C656" t="str">
            <v>Other Current Liabilities</v>
          </cell>
          <cell r="D656" t="str">
            <v>Statutory Dues</v>
          </cell>
          <cell r="E656">
            <v>0</v>
          </cell>
          <cell r="F656">
            <v>0</v>
          </cell>
          <cell r="G656">
            <v>0</v>
          </cell>
          <cell r="H656">
            <v>92000</v>
          </cell>
          <cell r="I656">
            <v>0</v>
          </cell>
          <cell r="J656">
            <v>92000</v>
          </cell>
          <cell r="K656">
            <v>0</v>
          </cell>
          <cell r="L656">
            <v>0</v>
          </cell>
          <cell r="M656">
            <v>0</v>
          </cell>
          <cell r="N656">
            <v>122000</v>
          </cell>
          <cell r="O656">
            <v>0</v>
          </cell>
          <cell r="P656">
            <v>122000</v>
          </cell>
        </row>
        <row r="657">
          <cell r="A657" t="str">
            <v>Telephone Charges</v>
          </cell>
          <cell r="B657">
            <v>26</v>
          </cell>
          <cell r="C657" t="str">
            <v>Other Expenses</v>
          </cell>
          <cell r="D657" t="str">
            <v>Establishment Expenses-Telephone Charges</v>
          </cell>
          <cell r="E657">
            <v>60230.080000000002</v>
          </cell>
          <cell r="F657">
            <v>0</v>
          </cell>
          <cell r="G657">
            <v>60230.080000000002</v>
          </cell>
          <cell r="H657">
            <v>0</v>
          </cell>
          <cell r="I657">
            <v>0</v>
          </cell>
          <cell r="J657">
            <v>0</v>
          </cell>
          <cell r="K657">
            <v>107805.92</v>
          </cell>
          <cell r="L657">
            <v>0</v>
          </cell>
          <cell r="M657">
            <v>107805.92</v>
          </cell>
          <cell r="N657">
            <v>0</v>
          </cell>
          <cell r="O657">
            <v>0</v>
          </cell>
          <cell r="P657">
            <v>0</v>
          </cell>
        </row>
        <row r="658">
          <cell r="A658" t="str">
            <v>Telephone Charges Payable</v>
          </cell>
          <cell r="B658">
            <v>7</v>
          </cell>
          <cell r="C658" t="str">
            <v>Trade Payables</v>
          </cell>
          <cell r="D658" t="str">
            <v>Trade Payables - Others</v>
          </cell>
          <cell r="E658">
            <v>0</v>
          </cell>
          <cell r="F658">
            <v>0</v>
          </cell>
          <cell r="G658">
            <v>0</v>
          </cell>
          <cell r="H658">
            <v>4200</v>
          </cell>
          <cell r="I658">
            <v>0</v>
          </cell>
          <cell r="J658">
            <v>4200</v>
          </cell>
          <cell r="K658">
            <v>0</v>
          </cell>
          <cell r="L658">
            <v>0</v>
          </cell>
          <cell r="M658">
            <v>0</v>
          </cell>
          <cell r="N658">
            <v>6466.92</v>
          </cell>
          <cell r="O658">
            <v>0</v>
          </cell>
          <cell r="P658">
            <v>6466.92</v>
          </cell>
        </row>
        <row r="659">
          <cell r="A659" t="str">
            <v>Testing &amp; Inspection Fees</v>
          </cell>
          <cell r="B659">
            <v>26</v>
          </cell>
          <cell r="C659" t="str">
            <v>Other Expenses</v>
          </cell>
          <cell r="D659" t="str">
            <v>Manufacturing Expenses - Factory Expenses</v>
          </cell>
          <cell r="E659">
            <v>97188</v>
          </cell>
          <cell r="F659">
            <v>0</v>
          </cell>
          <cell r="G659">
            <v>97188</v>
          </cell>
          <cell r="H659">
            <v>0</v>
          </cell>
          <cell r="I659">
            <v>0</v>
          </cell>
          <cell r="J659">
            <v>0</v>
          </cell>
          <cell r="K659">
            <v>14800</v>
          </cell>
          <cell r="L659">
            <v>0</v>
          </cell>
          <cell r="M659">
            <v>14800</v>
          </cell>
          <cell r="N659">
            <v>0</v>
          </cell>
          <cell r="O659">
            <v>0</v>
          </cell>
          <cell r="P659">
            <v>0</v>
          </cell>
        </row>
        <row r="660">
          <cell r="A660" t="str">
            <v>Thakkar Agencies</v>
          </cell>
          <cell r="B660">
            <v>8</v>
          </cell>
          <cell r="C660" t="str">
            <v>Other Current Liabilities</v>
          </cell>
          <cell r="D660" t="str">
            <v>Trade Payables for capital goods</v>
          </cell>
          <cell r="E660">
            <v>0</v>
          </cell>
          <cell r="F660">
            <v>0</v>
          </cell>
          <cell r="G660">
            <v>0</v>
          </cell>
          <cell r="H660">
            <v>0</v>
          </cell>
          <cell r="I660">
            <v>0</v>
          </cell>
          <cell r="J660">
            <v>0</v>
          </cell>
          <cell r="K660">
            <v>0</v>
          </cell>
          <cell r="L660">
            <v>0</v>
          </cell>
          <cell r="M660">
            <v>0</v>
          </cell>
          <cell r="N660">
            <v>163898</v>
          </cell>
          <cell r="O660">
            <v>0</v>
          </cell>
          <cell r="P660">
            <v>163898</v>
          </cell>
        </row>
        <row r="661">
          <cell r="A661" t="str">
            <v>Tilakraj Inderpal, Nagpur</v>
          </cell>
          <cell r="B661">
            <v>7</v>
          </cell>
          <cell r="C661" t="str">
            <v>Trade Payables</v>
          </cell>
          <cell r="D661" t="str">
            <v>Trade Payables</v>
          </cell>
          <cell r="E661">
            <v>0</v>
          </cell>
          <cell r="F661">
            <v>0</v>
          </cell>
          <cell r="G661">
            <v>0</v>
          </cell>
          <cell r="H661">
            <v>553184</v>
          </cell>
          <cell r="I661">
            <v>0</v>
          </cell>
          <cell r="J661">
            <v>553184</v>
          </cell>
          <cell r="K661">
            <v>0</v>
          </cell>
          <cell r="L661">
            <v>0</v>
          </cell>
          <cell r="M661">
            <v>0</v>
          </cell>
          <cell r="N661">
            <v>303024</v>
          </cell>
          <cell r="O661">
            <v>0</v>
          </cell>
          <cell r="P661">
            <v>303024</v>
          </cell>
        </row>
        <row r="662">
          <cell r="A662" t="str">
            <v>Trade Discount</v>
          </cell>
          <cell r="B662">
            <v>19</v>
          </cell>
          <cell r="C662" t="str">
            <v>Revenue From Operations</v>
          </cell>
          <cell r="D662" t="str">
            <v>Sale of Goods - Manufacturing Sales</v>
          </cell>
          <cell r="E662">
            <v>61964</v>
          </cell>
          <cell r="F662">
            <v>0</v>
          </cell>
          <cell r="G662">
            <v>61964</v>
          </cell>
          <cell r="H662">
            <v>0</v>
          </cell>
          <cell r="I662">
            <v>0</v>
          </cell>
          <cell r="J662">
            <v>0</v>
          </cell>
          <cell r="K662">
            <v>16463</v>
          </cell>
          <cell r="L662">
            <v>0</v>
          </cell>
          <cell r="M662">
            <v>16463</v>
          </cell>
          <cell r="N662">
            <v>0</v>
          </cell>
          <cell r="O662">
            <v>0</v>
          </cell>
          <cell r="P662">
            <v>0</v>
          </cell>
        </row>
        <row r="663">
          <cell r="A663" t="str">
            <v>Travelling Expenses</v>
          </cell>
          <cell r="B663">
            <v>26</v>
          </cell>
          <cell r="C663" t="str">
            <v>Other Expenses</v>
          </cell>
          <cell r="D663" t="str">
            <v>Establishment Expenses-Travelling &amp; Conveyance</v>
          </cell>
          <cell r="E663">
            <v>1281082.44</v>
          </cell>
          <cell r="F663">
            <v>0</v>
          </cell>
          <cell r="G663">
            <v>1281082.44</v>
          </cell>
          <cell r="H663">
            <v>0</v>
          </cell>
          <cell r="I663">
            <v>0</v>
          </cell>
          <cell r="J663">
            <v>0</v>
          </cell>
          <cell r="K663">
            <v>622583.19999999995</v>
          </cell>
          <cell r="L663">
            <v>0</v>
          </cell>
          <cell r="M663">
            <v>622583.19999999995</v>
          </cell>
          <cell r="N663">
            <v>0</v>
          </cell>
          <cell r="O663">
            <v>0</v>
          </cell>
          <cell r="P663">
            <v>0</v>
          </cell>
        </row>
        <row r="664">
          <cell r="A664" t="str">
            <v>TRUE DISTRIBUTORS</v>
          </cell>
          <cell r="B664">
            <v>15</v>
          </cell>
          <cell r="C664" t="str">
            <v>Trade Receivables</v>
          </cell>
          <cell r="D664" t="str">
            <v>Other Debts</v>
          </cell>
          <cell r="E664">
            <v>0</v>
          </cell>
          <cell r="F664">
            <v>0</v>
          </cell>
          <cell r="G664">
            <v>0</v>
          </cell>
          <cell r="H664">
            <v>0</v>
          </cell>
          <cell r="I664">
            <v>0</v>
          </cell>
          <cell r="J664">
            <v>0</v>
          </cell>
          <cell r="K664">
            <v>0</v>
          </cell>
          <cell r="L664">
            <v>0</v>
          </cell>
          <cell r="M664">
            <v>0</v>
          </cell>
          <cell r="N664">
            <v>0</v>
          </cell>
          <cell r="O664">
            <v>0</v>
          </cell>
          <cell r="P664">
            <v>0</v>
          </cell>
        </row>
        <row r="665">
          <cell r="A665" t="str">
            <v>Uday Electrical Winders</v>
          </cell>
          <cell r="B665">
            <v>7</v>
          </cell>
          <cell r="C665" t="str">
            <v>Trade Payables</v>
          </cell>
          <cell r="D665" t="str">
            <v>Trade Payables</v>
          </cell>
          <cell r="E665">
            <v>0</v>
          </cell>
          <cell r="F665">
            <v>0</v>
          </cell>
          <cell r="G665">
            <v>0</v>
          </cell>
          <cell r="H665">
            <v>0</v>
          </cell>
          <cell r="I665">
            <v>0</v>
          </cell>
          <cell r="J665">
            <v>0</v>
          </cell>
          <cell r="K665">
            <v>0</v>
          </cell>
          <cell r="L665">
            <v>0</v>
          </cell>
          <cell r="M665">
            <v>0</v>
          </cell>
          <cell r="N665">
            <v>0</v>
          </cell>
          <cell r="O665">
            <v>0</v>
          </cell>
          <cell r="P665">
            <v>0</v>
          </cell>
        </row>
        <row r="666">
          <cell r="A666" t="str">
            <v>Unipack</v>
          </cell>
          <cell r="B666">
            <v>7</v>
          </cell>
          <cell r="C666" t="str">
            <v>Trade Payables</v>
          </cell>
          <cell r="D666" t="str">
            <v>Trade Payables</v>
          </cell>
          <cell r="E666">
            <v>0</v>
          </cell>
          <cell r="F666">
            <v>0</v>
          </cell>
          <cell r="G666">
            <v>0</v>
          </cell>
          <cell r="H666">
            <v>88755</v>
          </cell>
          <cell r="I666">
            <v>0</v>
          </cell>
          <cell r="J666">
            <v>88755</v>
          </cell>
          <cell r="K666">
            <v>0</v>
          </cell>
          <cell r="L666">
            <v>0</v>
          </cell>
          <cell r="M666">
            <v>0</v>
          </cell>
          <cell r="N666">
            <v>90301</v>
          </cell>
          <cell r="O666">
            <v>0</v>
          </cell>
          <cell r="P666">
            <v>90301</v>
          </cell>
        </row>
        <row r="667">
          <cell r="A667" t="str">
            <v>Urd Purchase  On Waste Paper</v>
          </cell>
          <cell r="B667">
            <v>22</v>
          </cell>
          <cell r="C667" t="str">
            <v>Raw Material Consumed</v>
          </cell>
          <cell r="D667" t="str">
            <v>Raw Material Purchase</v>
          </cell>
          <cell r="E667">
            <v>676306.5</v>
          </cell>
          <cell r="F667">
            <v>0</v>
          </cell>
          <cell r="G667">
            <v>676306.5</v>
          </cell>
          <cell r="H667">
            <v>0</v>
          </cell>
          <cell r="I667">
            <v>0</v>
          </cell>
          <cell r="J667">
            <v>0</v>
          </cell>
          <cell r="K667">
            <v>767149</v>
          </cell>
          <cell r="L667">
            <v>0</v>
          </cell>
          <cell r="M667">
            <v>767149</v>
          </cell>
          <cell r="N667">
            <v>0</v>
          </cell>
          <cell r="O667">
            <v>0</v>
          </cell>
          <cell r="P667">
            <v>0</v>
          </cell>
        </row>
        <row r="668">
          <cell r="A668" t="str">
            <v>Urd Purchase On Packing Material</v>
          </cell>
          <cell r="B668">
            <v>26</v>
          </cell>
          <cell r="C668" t="str">
            <v>Other Expenses</v>
          </cell>
          <cell r="D668" t="str">
            <v>Manufacturing Expenses - Packing Material Consumed</v>
          </cell>
          <cell r="E668">
            <v>350000</v>
          </cell>
          <cell r="F668">
            <v>0</v>
          </cell>
          <cell r="G668">
            <v>350000</v>
          </cell>
          <cell r="H668">
            <v>0</v>
          </cell>
          <cell r="I668">
            <v>0</v>
          </cell>
          <cell r="J668">
            <v>0</v>
          </cell>
          <cell r="K668">
            <v>375000</v>
          </cell>
          <cell r="L668">
            <v>0</v>
          </cell>
          <cell r="M668">
            <v>375000</v>
          </cell>
          <cell r="N668">
            <v>0</v>
          </cell>
          <cell r="O668">
            <v>0</v>
          </cell>
          <cell r="P668">
            <v>0</v>
          </cell>
        </row>
        <row r="669">
          <cell r="A669" t="str">
            <v>Uttam Shetty &amp; Co</v>
          </cell>
          <cell r="B669">
            <v>7</v>
          </cell>
          <cell r="C669" t="str">
            <v>Trade Payables</v>
          </cell>
          <cell r="D669" t="str">
            <v>Trade Payables - Others</v>
          </cell>
          <cell r="E669">
            <v>0</v>
          </cell>
          <cell r="F669">
            <v>0</v>
          </cell>
          <cell r="G669">
            <v>0</v>
          </cell>
          <cell r="H669">
            <v>93420</v>
          </cell>
          <cell r="I669">
            <v>0</v>
          </cell>
          <cell r="J669">
            <v>93420</v>
          </cell>
          <cell r="K669">
            <v>0</v>
          </cell>
          <cell r="L669">
            <v>0</v>
          </cell>
          <cell r="M669">
            <v>0</v>
          </cell>
          <cell r="N669">
            <v>82180</v>
          </cell>
          <cell r="O669">
            <v>0</v>
          </cell>
          <cell r="P669">
            <v>82180</v>
          </cell>
        </row>
        <row r="670">
          <cell r="A670" t="str">
            <v>V.A.T. Payable (F.Y.13-14)</v>
          </cell>
          <cell r="B670">
            <v>12</v>
          </cell>
          <cell r="C670" t="str">
            <v>Long Term Loans &amp; Advances</v>
          </cell>
          <cell r="D670" t="str">
            <v>Balance with Government Authorities</v>
          </cell>
          <cell r="E670">
            <v>0</v>
          </cell>
          <cell r="F670">
            <v>0</v>
          </cell>
          <cell r="G670">
            <v>0</v>
          </cell>
          <cell r="H670">
            <v>0</v>
          </cell>
          <cell r="I670">
            <v>0</v>
          </cell>
          <cell r="J670">
            <v>0</v>
          </cell>
          <cell r="K670">
            <v>0</v>
          </cell>
          <cell r="L670">
            <v>0</v>
          </cell>
          <cell r="M670">
            <v>0</v>
          </cell>
          <cell r="N670">
            <v>0</v>
          </cell>
          <cell r="O670">
            <v>0</v>
          </cell>
          <cell r="P670">
            <v>0</v>
          </cell>
        </row>
        <row r="671">
          <cell r="A671" t="str">
            <v>Vaibhav Enterprises</v>
          </cell>
          <cell r="B671">
            <v>7</v>
          </cell>
          <cell r="C671" t="str">
            <v>Trade Payables</v>
          </cell>
          <cell r="D671" t="str">
            <v>Trade Payables</v>
          </cell>
          <cell r="E671">
            <v>0</v>
          </cell>
          <cell r="F671">
            <v>0</v>
          </cell>
          <cell r="G671">
            <v>0</v>
          </cell>
          <cell r="H671">
            <v>2274218</v>
          </cell>
          <cell r="I671">
            <v>0</v>
          </cell>
          <cell r="J671">
            <v>2274218</v>
          </cell>
          <cell r="K671">
            <v>0</v>
          </cell>
          <cell r="L671">
            <v>0</v>
          </cell>
          <cell r="M671">
            <v>0</v>
          </cell>
          <cell r="N671">
            <v>1276901</v>
          </cell>
          <cell r="O671">
            <v>0</v>
          </cell>
          <cell r="P671">
            <v>1276901</v>
          </cell>
        </row>
        <row r="672">
          <cell r="A672" t="str">
            <v>Varuna Industries, Nagpur</v>
          </cell>
          <cell r="B672">
            <v>7</v>
          </cell>
          <cell r="C672" t="str">
            <v>Trade Payables</v>
          </cell>
          <cell r="D672" t="str">
            <v>Trade Payables</v>
          </cell>
          <cell r="E672">
            <v>0</v>
          </cell>
          <cell r="F672">
            <v>0</v>
          </cell>
          <cell r="G672">
            <v>0</v>
          </cell>
          <cell r="H672">
            <v>0</v>
          </cell>
          <cell r="I672">
            <v>0</v>
          </cell>
          <cell r="J672">
            <v>0</v>
          </cell>
          <cell r="K672">
            <v>0</v>
          </cell>
          <cell r="L672">
            <v>0</v>
          </cell>
          <cell r="M672">
            <v>0</v>
          </cell>
          <cell r="N672">
            <v>51588</v>
          </cell>
          <cell r="O672">
            <v>0</v>
          </cell>
          <cell r="P672">
            <v>51588</v>
          </cell>
        </row>
        <row r="673">
          <cell r="A673" t="str">
            <v>VAT Audit Fees : (Shah Baheti)</v>
          </cell>
          <cell r="B673">
            <v>26</v>
          </cell>
          <cell r="C673" t="str">
            <v>Other Expenses</v>
          </cell>
          <cell r="D673" t="str">
            <v>Establishment Expenses-Legal &amp; Professional Charges</v>
          </cell>
          <cell r="E673">
            <v>0</v>
          </cell>
          <cell r="F673">
            <v>0</v>
          </cell>
          <cell r="G673">
            <v>0</v>
          </cell>
          <cell r="H673">
            <v>0</v>
          </cell>
          <cell r="I673">
            <v>0</v>
          </cell>
          <cell r="J673">
            <v>0</v>
          </cell>
          <cell r="K673">
            <v>37000</v>
          </cell>
          <cell r="L673">
            <v>0</v>
          </cell>
          <cell r="M673">
            <v>37000</v>
          </cell>
          <cell r="N673">
            <v>0</v>
          </cell>
          <cell r="O673">
            <v>0</v>
          </cell>
          <cell r="P673">
            <v>0</v>
          </cell>
        </row>
        <row r="674">
          <cell r="A674" t="str">
            <v>VAT Audit Fees Payable</v>
          </cell>
          <cell r="B674">
            <v>7</v>
          </cell>
          <cell r="C674" t="str">
            <v>Trade Payables</v>
          </cell>
          <cell r="D674" t="str">
            <v>Trade Payables - Others</v>
          </cell>
          <cell r="E674">
            <v>0</v>
          </cell>
          <cell r="F674">
            <v>0</v>
          </cell>
          <cell r="G674">
            <v>0</v>
          </cell>
          <cell r="H674">
            <v>0</v>
          </cell>
          <cell r="I674">
            <v>0</v>
          </cell>
          <cell r="J674">
            <v>0</v>
          </cell>
          <cell r="K674">
            <v>0</v>
          </cell>
          <cell r="L674">
            <v>0</v>
          </cell>
          <cell r="M674">
            <v>0</v>
          </cell>
          <cell r="N674">
            <v>0</v>
          </cell>
          <cell r="O674">
            <v>0</v>
          </cell>
          <cell r="P674">
            <v>0</v>
          </cell>
        </row>
        <row r="675">
          <cell r="A675" t="str">
            <v>GST Audit Fees Payable</v>
          </cell>
          <cell r="B675">
            <v>7</v>
          </cell>
          <cell r="C675" t="str">
            <v>Trade Payables</v>
          </cell>
          <cell r="D675" t="str">
            <v>Trade Payables - Others</v>
          </cell>
          <cell r="E675">
            <v>0</v>
          </cell>
          <cell r="F675">
            <v>0</v>
          </cell>
          <cell r="G675">
            <v>0</v>
          </cell>
          <cell r="H675">
            <v>0</v>
          </cell>
          <cell r="I675">
            <v>0</v>
          </cell>
          <cell r="J675">
            <v>0</v>
          </cell>
          <cell r="K675">
            <v>0</v>
          </cell>
          <cell r="L675">
            <v>0</v>
          </cell>
          <cell r="M675">
            <v>0</v>
          </cell>
          <cell r="N675">
            <v>30000</v>
          </cell>
          <cell r="O675">
            <v>0</v>
          </cell>
          <cell r="P675">
            <v>30000</v>
          </cell>
        </row>
        <row r="676">
          <cell r="A676" t="str">
            <v>VAT Payable ( F.Y. 16-17 )</v>
          </cell>
          <cell r="B676">
            <v>12</v>
          </cell>
          <cell r="C676" t="str">
            <v>Long Term Loans &amp; Advances</v>
          </cell>
          <cell r="D676" t="str">
            <v>Balance with Government Authorities</v>
          </cell>
          <cell r="E676">
            <v>0</v>
          </cell>
          <cell r="F676">
            <v>0</v>
          </cell>
          <cell r="G676">
            <v>0</v>
          </cell>
          <cell r="H676">
            <v>0</v>
          </cell>
          <cell r="I676">
            <v>0</v>
          </cell>
          <cell r="J676">
            <v>0</v>
          </cell>
          <cell r="K676">
            <v>13978.36</v>
          </cell>
          <cell r="L676">
            <v>0</v>
          </cell>
          <cell r="M676">
            <v>13978.36</v>
          </cell>
          <cell r="N676">
            <v>0</v>
          </cell>
          <cell r="O676">
            <v>0</v>
          </cell>
          <cell r="P676">
            <v>0</v>
          </cell>
        </row>
        <row r="677">
          <cell r="A677" t="str">
            <v>VAT Payable (F.Y. 14-15)</v>
          </cell>
          <cell r="B677">
            <v>12</v>
          </cell>
          <cell r="C677" t="str">
            <v>Long Term Loans &amp; Advances</v>
          </cell>
          <cell r="D677" t="str">
            <v>Balance with Government Authorities</v>
          </cell>
          <cell r="E677">
            <v>0</v>
          </cell>
          <cell r="F677">
            <v>0</v>
          </cell>
          <cell r="G677">
            <v>0</v>
          </cell>
          <cell r="H677">
            <v>0</v>
          </cell>
          <cell r="I677">
            <v>0</v>
          </cell>
          <cell r="J677">
            <v>0</v>
          </cell>
          <cell r="K677">
            <v>0</v>
          </cell>
          <cell r="L677">
            <v>0</v>
          </cell>
          <cell r="M677">
            <v>0</v>
          </cell>
          <cell r="N677">
            <v>0</v>
          </cell>
          <cell r="O677">
            <v>0</v>
          </cell>
          <cell r="P677">
            <v>0</v>
          </cell>
        </row>
        <row r="678">
          <cell r="A678" t="str">
            <v>VAT Assessment Order 2014-15</v>
          </cell>
          <cell r="B678">
            <v>26</v>
          </cell>
          <cell r="C678" t="str">
            <v>Other Expenses</v>
          </cell>
          <cell r="D678" t="str">
            <v>Establishment Expenses-Rates &amp; Taxes</v>
          </cell>
          <cell r="E678">
            <v>0</v>
          </cell>
          <cell r="F678">
            <v>0</v>
          </cell>
          <cell r="G678">
            <v>0</v>
          </cell>
          <cell r="H678">
            <v>0</v>
          </cell>
          <cell r="I678">
            <v>0</v>
          </cell>
          <cell r="J678">
            <v>0</v>
          </cell>
          <cell r="K678">
            <v>427952</v>
          </cell>
          <cell r="L678">
            <v>0</v>
          </cell>
          <cell r="M678">
            <v>427952</v>
          </cell>
          <cell r="N678">
            <v>0</v>
          </cell>
          <cell r="O678">
            <v>0</v>
          </cell>
          <cell r="P678">
            <v>0</v>
          </cell>
        </row>
        <row r="679">
          <cell r="A679" t="str">
            <v>VAT Payable (F.Y. 2017-18)</v>
          </cell>
          <cell r="B679">
            <v>12</v>
          </cell>
          <cell r="C679" t="str">
            <v>Long Term Loans &amp; Advances</v>
          </cell>
          <cell r="D679" t="str">
            <v>Balance with Government Authorities</v>
          </cell>
          <cell r="E679">
            <v>0</v>
          </cell>
          <cell r="F679">
            <v>0</v>
          </cell>
          <cell r="G679">
            <v>0</v>
          </cell>
          <cell r="H679">
            <v>0</v>
          </cell>
          <cell r="I679">
            <v>0</v>
          </cell>
          <cell r="J679">
            <v>0</v>
          </cell>
          <cell r="K679">
            <v>10451</v>
          </cell>
          <cell r="L679">
            <v>0</v>
          </cell>
          <cell r="M679">
            <v>10451</v>
          </cell>
          <cell r="N679">
            <v>0</v>
          </cell>
          <cell r="O679">
            <v>0</v>
          </cell>
          <cell r="P679">
            <v>0</v>
          </cell>
        </row>
        <row r="680">
          <cell r="A680" t="str">
            <v>VAT Receivable  (F.Y. 14-15)</v>
          </cell>
          <cell r="B680">
            <v>12</v>
          </cell>
          <cell r="C680" t="str">
            <v>Long Term Loans &amp; Advances</v>
          </cell>
          <cell r="D680" t="str">
            <v>Balance with Government Authorities</v>
          </cell>
          <cell r="E680">
            <v>0</v>
          </cell>
          <cell r="F680">
            <v>0</v>
          </cell>
          <cell r="G680">
            <v>0</v>
          </cell>
          <cell r="H680">
            <v>0</v>
          </cell>
          <cell r="I680">
            <v>0</v>
          </cell>
          <cell r="J680">
            <v>0</v>
          </cell>
          <cell r="K680">
            <v>439878</v>
          </cell>
          <cell r="L680">
            <v>0</v>
          </cell>
          <cell r="M680">
            <v>439878</v>
          </cell>
          <cell r="N680">
            <v>0</v>
          </cell>
          <cell r="O680">
            <v>0</v>
          </cell>
          <cell r="P680">
            <v>0</v>
          </cell>
        </row>
        <row r="681">
          <cell r="A681" t="str">
            <v>VAT SALE @ 6%</v>
          </cell>
          <cell r="B681">
            <v>19</v>
          </cell>
          <cell r="C681" t="str">
            <v>Revenue From Operations</v>
          </cell>
          <cell r="D681" t="str">
            <v>Sale of Goods - Manufacturing Sales</v>
          </cell>
          <cell r="E681">
            <v>0</v>
          </cell>
          <cell r="F681">
            <v>0</v>
          </cell>
          <cell r="G681">
            <v>0</v>
          </cell>
          <cell r="H681">
            <v>0</v>
          </cell>
          <cell r="I681">
            <v>0</v>
          </cell>
          <cell r="J681">
            <v>0</v>
          </cell>
          <cell r="K681">
            <v>0</v>
          </cell>
          <cell r="L681">
            <v>0</v>
          </cell>
          <cell r="M681">
            <v>0</v>
          </cell>
          <cell r="N681">
            <v>0</v>
          </cell>
          <cell r="O681">
            <v>0</v>
          </cell>
          <cell r="P681">
            <v>0</v>
          </cell>
        </row>
        <row r="682">
          <cell r="A682" t="str">
            <v>Vat Tax Expenses</v>
          </cell>
          <cell r="B682">
            <v>19</v>
          </cell>
          <cell r="C682" t="str">
            <v>Revenue From Operations</v>
          </cell>
          <cell r="D682" t="str">
            <v>Sales Tax</v>
          </cell>
          <cell r="E682">
            <v>0</v>
          </cell>
          <cell r="F682">
            <v>0</v>
          </cell>
          <cell r="G682">
            <v>0</v>
          </cell>
          <cell r="H682">
            <v>0</v>
          </cell>
          <cell r="I682">
            <v>0</v>
          </cell>
          <cell r="J682">
            <v>0</v>
          </cell>
          <cell r="K682">
            <v>0</v>
          </cell>
          <cell r="L682">
            <v>0</v>
          </cell>
          <cell r="M682">
            <v>0</v>
          </cell>
          <cell r="N682">
            <v>0</v>
          </cell>
          <cell r="O682">
            <v>0</v>
          </cell>
          <cell r="P682">
            <v>0</v>
          </cell>
        </row>
        <row r="683">
          <cell r="A683" t="str">
            <v>VEDANT PACKERS PVT.LTD.</v>
          </cell>
          <cell r="B683">
            <v>15</v>
          </cell>
          <cell r="C683" t="str">
            <v>Trade Receivables</v>
          </cell>
          <cell r="D683" t="str">
            <v>Other Debts</v>
          </cell>
          <cell r="E683">
            <v>0</v>
          </cell>
          <cell r="F683">
            <v>0</v>
          </cell>
          <cell r="G683">
            <v>0</v>
          </cell>
          <cell r="H683">
            <v>0</v>
          </cell>
          <cell r="I683">
            <v>0</v>
          </cell>
          <cell r="J683">
            <v>0</v>
          </cell>
          <cell r="K683">
            <v>0</v>
          </cell>
          <cell r="L683">
            <v>0</v>
          </cell>
          <cell r="M683">
            <v>0</v>
          </cell>
          <cell r="N683">
            <v>0</v>
          </cell>
          <cell r="O683">
            <v>0</v>
          </cell>
          <cell r="P683">
            <v>0</v>
          </cell>
        </row>
        <row r="684">
          <cell r="A684" t="str">
            <v>VEENA INDUSTRIES</v>
          </cell>
          <cell r="B684">
            <v>15</v>
          </cell>
          <cell r="C684" t="str">
            <v>Trade Receivables</v>
          </cell>
          <cell r="D684" t="str">
            <v>Other Debts</v>
          </cell>
          <cell r="E684">
            <v>0</v>
          </cell>
          <cell r="F684">
            <v>0</v>
          </cell>
          <cell r="G684">
            <v>0</v>
          </cell>
          <cell r="H684">
            <v>0</v>
          </cell>
          <cell r="I684">
            <v>0</v>
          </cell>
          <cell r="J684">
            <v>0</v>
          </cell>
          <cell r="K684">
            <v>151873</v>
          </cell>
          <cell r="L684">
            <v>0</v>
          </cell>
          <cell r="M684">
            <v>151873</v>
          </cell>
          <cell r="N684">
            <v>0</v>
          </cell>
          <cell r="O684">
            <v>0</v>
          </cell>
          <cell r="P684">
            <v>0</v>
          </cell>
        </row>
        <row r="685">
          <cell r="A685" t="str">
            <v>Vehicle</v>
          </cell>
          <cell r="B685">
            <v>10</v>
          </cell>
          <cell r="C685" t="str">
            <v>Fixed Assets</v>
          </cell>
          <cell r="D685" t="str">
            <v>Tangible Asset</v>
          </cell>
          <cell r="E685">
            <v>4350231</v>
          </cell>
          <cell r="F685">
            <v>0</v>
          </cell>
          <cell r="G685">
            <v>4350231</v>
          </cell>
          <cell r="H685">
            <v>0</v>
          </cell>
          <cell r="I685">
            <v>0</v>
          </cell>
          <cell r="J685">
            <v>0</v>
          </cell>
          <cell r="K685">
            <v>1961724</v>
          </cell>
          <cell r="L685">
            <v>0</v>
          </cell>
          <cell r="M685">
            <v>1961724</v>
          </cell>
          <cell r="N685">
            <v>0</v>
          </cell>
          <cell r="O685">
            <v>0</v>
          </cell>
          <cell r="P685">
            <v>0</v>
          </cell>
        </row>
        <row r="686">
          <cell r="A686" t="str">
            <v>Vehicle Diesel Expenses</v>
          </cell>
          <cell r="B686">
            <v>26</v>
          </cell>
          <cell r="C686" t="str">
            <v>Other Expenses</v>
          </cell>
          <cell r="D686" t="str">
            <v>Establishment Expenses-Rep. &amp; Maint. Vehicle</v>
          </cell>
          <cell r="E686">
            <v>332580</v>
          </cell>
          <cell r="F686">
            <v>0</v>
          </cell>
          <cell r="G686">
            <v>332580</v>
          </cell>
          <cell r="H686">
            <v>0</v>
          </cell>
          <cell r="I686">
            <v>0</v>
          </cell>
          <cell r="J686">
            <v>0</v>
          </cell>
          <cell r="K686">
            <v>369756</v>
          </cell>
          <cell r="L686">
            <v>0</v>
          </cell>
          <cell r="M686">
            <v>369756</v>
          </cell>
          <cell r="N686">
            <v>0</v>
          </cell>
          <cell r="O686">
            <v>0</v>
          </cell>
          <cell r="P686">
            <v>0</v>
          </cell>
        </row>
        <row r="687">
          <cell r="A687" t="str">
            <v>Vehicle Repair &amp; Maintenance</v>
          </cell>
          <cell r="B687">
            <v>26</v>
          </cell>
          <cell r="C687" t="str">
            <v>Other Expenses</v>
          </cell>
          <cell r="D687" t="str">
            <v>Establishment Expenses-Rep. &amp; Maint. Vehicle</v>
          </cell>
          <cell r="E687">
            <v>254656</v>
          </cell>
          <cell r="F687">
            <v>0</v>
          </cell>
          <cell r="G687">
            <v>254656</v>
          </cell>
          <cell r="H687">
            <v>0</v>
          </cell>
          <cell r="I687">
            <v>0</v>
          </cell>
          <cell r="J687">
            <v>0</v>
          </cell>
          <cell r="K687">
            <v>226251.5</v>
          </cell>
          <cell r="L687">
            <v>0</v>
          </cell>
          <cell r="M687">
            <v>226251.5</v>
          </cell>
          <cell r="N687">
            <v>0</v>
          </cell>
          <cell r="O687">
            <v>0</v>
          </cell>
          <cell r="P687">
            <v>0</v>
          </cell>
        </row>
        <row r="688">
          <cell r="A688" t="str">
            <v>Vidarbha Bearing &amp; Belting Co. P. Ltd.</v>
          </cell>
          <cell r="B688">
            <v>7</v>
          </cell>
          <cell r="C688" t="str">
            <v>Trade Payables</v>
          </cell>
          <cell r="D688" t="str">
            <v>Trade Payables</v>
          </cell>
          <cell r="E688">
            <v>0</v>
          </cell>
          <cell r="F688">
            <v>0</v>
          </cell>
          <cell r="G688">
            <v>0</v>
          </cell>
          <cell r="H688">
            <v>4434</v>
          </cell>
          <cell r="I688">
            <v>0</v>
          </cell>
          <cell r="J688">
            <v>4434</v>
          </cell>
          <cell r="K688">
            <v>0</v>
          </cell>
          <cell r="L688">
            <v>0</v>
          </cell>
          <cell r="M688">
            <v>0</v>
          </cell>
          <cell r="N688">
            <v>0</v>
          </cell>
          <cell r="O688">
            <v>0</v>
          </cell>
          <cell r="P688">
            <v>0</v>
          </cell>
        </row>
        <row r="689">
          <cell r="A689" t="str">
            <v>Vidhanis Tradelink Pvt. Ltd.</v>
          </cell>
          <cell r="B689">
            <v>7</v>
          </cell>
          <cell r="C689" t="str">
            <v>Trade Payables</v>
          </cell>
          <cell r="D689" t="str">
            <v>Trade Payables</v>
          </cell>
          <cell r="E689">
            <v>0</v>
          </cell>
          <cell r="F689">
            <v>0</v>
          </cell>
          <cell r="G689">
            <v>0</v>
          </cell>
          <cell r="H689">
            <v>699844</v>
          </cell>
          <cell r="I689">
            <v>0</v>
          </cell>
          <cell r="J689">
            <v>699844</v>
          </cell>
          <cell r="K689">
            <v>0</v>
          </cell>
          <cell r="L689">
            <v>0</v>
          </cell>
          <cell r="M689">
            <v>0</v>
          </cell>
          <cell r="N689">
            <v>615157</v>
          </cell>
          <cell r="O689">
            <v>0</v>
          </cell>
          <cell r="P689">
            <v>615157</v>
          </cell>
        </row>
        <row r="690">
          <cell r="A690" t="str">
            <v>VINAYAKA IMPEX</v>
          </cell>
          <cell r="B690">
            <v>15</v>
          </cell>
          <cell r="C690" t="str">
            <v>Trade Receivables</v>
          </cell>
          <cell r="D690" t="str">
            <v>Other Debts</v>
          </cell>
          <cell r="E690">
            <v>0</v>
          </cell>
          <cell r="F690">
            <v>0</v>
          </cell>
          <cell r="G690">
            <v>0</v>
          </cell>
          <cell r="H690">
            <v>0</v>
          </cell>
          <cell r="I690">
            <v>0</v>
          </cell>
          <cell r="J690">
            <v>0</v>
          </cell>
          <cell r="K690">
            <v>0</v>
          </cell>
          <cell r="L690">
            <v>0</v>
          </cell>
          <cell r="M690">
            <v>0</v>
          </cell>
          <cell r="N690">
            <v>0</v>
          </cell>
          <cell r="O690">
            <v>0</v>
          </cell>
          <cell r="P690">
            <v>0</v>
          </cell>
        </row>
        <row r="691">
          <cell r="A691" t="str">
            <v>VISHWA KUTUMB PVT.LTD.</v>
          </cell>
          <cell r="B691">
            <v>15</v>
          </cell>
          <cell r="C691" t="str">
            <v>Trade Receivables</v>
          </cell>
          <cell r="D691" t="str">
            <v>Other Debts</v>
          </cell>
          <cell r="E691">
            <v>0</v>
          </cell>
          <cell r="F691">
            <v>0</v>
          </cell>
          <cell r="G691">
            <v>0</v>
          </cell>
          <cell r="H691">
            <v>0</v>
          </cell>
          <cell r="I691">
            <v>0</v>
          </cell>
          <cell r="J691">
            <v>0</v>
          </cell>
          <cell r="K691">
            <v>0</v>
          </cell>
          <cell r="L691">
            <v>0</v>
          </cell>
          <cell r="M691">
            <v>0</v>
          </cell>
          <cell r="N691">
            <v>0</v>
          </cell>
          <cell r="O691">
            <v>0</v>
          </cell>
          <cell r="P691">
            <v>0</v>
          </cell>
        </row>
        <row r="692">
          <cell r="A692" t="str">
            <v>Visy Recycling</v>
          </cell>
          <cell r="B692">
            <v>7</v>
          </cell>
          <cell r="C692" t="str">
            <v>Trade Payables</v>
          </cell>
          <cell r="D692" t="str">
            <v>Trade Payables</v>
          </cell>
          <cell r="E692">
            <v>0</v>
          </cell>
          <cell r="F692">
            <v>0</v>
          </cell>
          <cell r="G692">
            <v>0</v>
          </cell>
          <cell r="H692">
            <v>0</v>
          </cell>
          <cell r="I692">
            <v>0</v>
          </cell>
          <cell r="J692">
            <v>0</v>
          </cell>
          <cell r="K692">
            <v>0</v>
          </cell>
          <cell r="L692">
            <v>0</v>
          </cell>
          <cell r="M692">
            <v>0</v>
          </cell>
          <cell r="N692">
            <v>1343823</v>
          </cell>
          <cell r="O692">
            <v>0</v>
          </cell>
          <cell r="P692">
            <v>1343823</v>
          </cell>
        </row>
        <row r="693">
          <cell r="A693" t="str">
            <v>Voith Paper Fabrics India Ltd.</v>
          </cell>
          <cell r="B693">
            <v>7</v>
          </cell>
          <cell r="C693" t="str">
            <v>Trade Payables</v>
          </cell>
          <cell r="D693" t="str">
            <v>Trade Payables</v>
          </cell>
          <cell r="E693">
            <v>0</v>
          </cell>
          <cell r="F693">
            <v>0</v>
          </cell>
          <cell r="G693">
            <v>0</v>
          </cell>
          <cell r="H693">
            <v>0</v>
          </cell>
          <cell r="I693">
            <v>0</v>
          </cell>
          <cell r="J693">
            <v>0</v>
          </cell>
          <cell r="K693">
            <v>0</v>
          </cell>
          <cell r="L693">
            <v>0</v>
          </cell>
          <cell r="M693">
            <v>0</v>
          </cell>
          <cell r="N693">
            <v>621226</v>
          </cell>
          <cell r="O693">
            <v>0</v>
          </cell>
          <cell r="P693">
            <v>621226</v>
          </cell>
        </row>
        <row r="694">
          <cell r="A694" t="str">
            <v>VRL Logistics Ltd.</v>
          </cell>
          <cell r="B694">
            <v>7</v>
          </cell>
          <cell r="C694" t="str">
            <v>Trade Payables</v>
          </cell>
          <cell r="D694" t="str">
            <v>Trade Payables - Others</v>
          </cell>
          <cell r="E694">
            <v>0</v>
          </cell>
          <cell r="F694">
            <v>0</v>
          </cell>
          <cell r="G694">
            <v>0</v>
          </cell>
          <cell r="H694">
            <v>0</v>
          </cell>
          <cell r="I694">
            <v>0</v>
          </cell>
          <cell r="J694">
            <v>0</v>
          </cell>
          <cell r="K694">
            <v>0</v>
          </cell>
          <cell r="L694">
            <v>0</v>
          </cell>
          <cell r="M694">
            <v>0</v>
          </cell>
          <cell r="N694">
            <v>0</v>
          </cell>
          <cell r="O694">
            <v>0</v>
          </cell>
          <cell r="P694">
            <v>0</v>
          </cell>
        </row>
        <row r="695">
          <cell r="A695" t="str">
            <v>W M RECYCLE AMERICA LLC</v>
          </cell>
          <cell r="B695">
            <v>7</v>
          </cell>
          <cell r="C695" t="str">
            <v>Trade Payables</v>
          </cell>
          <cell r="D695" t="str">
            <v>Trade Payables</v>
          </cell>
          <cell r="E695">
            <v>0</v>
          </cell>
          <cell r="F695">
            <v>0</v>
          </cell>
          <cell r="G695">
            <v>0</v>
          </cell>
          <cell r="H695">
            <v>0</v>
          </cell>
          <cell r="I695">
            <v>0</v>
          </cell>
          <cell r="J695">
            <v>0</v>
          </cell>
          <cell r="K695">
            <v>0</v>
          </cell>
          <cell r="L695">
            <v>0</v>
          </cell>
          <cell r="M695">
            <v>0</v>
          </cell>
          <cell r="N695">
            <v>0</v>
          </cell>
          <cell r="O695">
            <v>0</v>
          </cell>
          <cell r="P695">
            <v>0</v>
          </cell>
        </row>
        <row r="696">
          <cell r="A696" t="str">
            <v>Walkover Industries</v>
          </cell>
          <cell r="B696">
            <v>15</v>
          </cell>
          <cell r="C696" t="str">
            <v>Trade Receivables</v>
          </cell>
          <cell r="D696" t="str">
            <v>Other Debts</v>
          </cell>
          <cell r="E696">
            <v>0</v>
          </cell>
          <cell r="F696">
            <v>0</v>
          </cell>
          <cell r="G696">
            <v>0</v>
          </cell>
          <cell r="H696">
            <v>0</v>
          </cell>
          <cell r="I696">
            <v>0</v>
          </cell>
          <cell r="J696">
            <v>0</v>
          </cell>
          <cell r="K696">
            <v>204778</v>
          </cell>
          <cell r="L696">
            <v>0</v>
          </cell>
          <cell r="M696">
            <v>204778</v>
          </cell>
          <cell r="N696">
            <v>0</v>
          </cell>
          <cell r="O696">
            <v>0</v>
          </cell>
          <cell r="P696">
            <v>0</v>
          </cell>
        </row>
        <row r="697">
          <cell r="A697" t="str">
            <v>Walter &amp; Associates, Mumbai</v>
          </cell>
          <cell r="B697">
            <v>7</v>
          </cell>
          <cell r="C697" t="str">
            <v>Trade Payables</v>
          </cell>
          <cell r="D697" t="str">
            <v>Trade Payables</v>
          </cell>
          <cell r="E697">
            <v>0</v>
          </cell>
          <cell r="F697">
            <v>0</v>
          </cell>
          <cell r="G697">
            <v>0</v>
          </cell>
          <cell r="H697">
            <v>226800</v>
          </cell>
          <cell r="I697">
            <v>0</v>
          </cell>
          <cell r="J697">
            <v>226800</v>
          </cell>
          <cell r="K697">
            <v>0</v>
          </cell>
          <cell r="L697">
            <v>0</v>
          </cell>
          <cell r="M697">
            <v>0</v>
          </cell>
          <cell r="N697">
            <v>226800</v>
          </cell>
          <cell r="O697">
            <v>0</v>
          </cell>
          <cell r="P697">
            <v>226800</v>
          </cell>
        </row>
        <row r="698">
          <cell r="A698" t="str">
            <v>Waste Desposable Expenses</v>
          </cell>
          <cell r="B698">
            <v>26</v>
          </cell>
          <cell r="C698" t="str">
            <v>Other Expenses</v>
          </cell>
          <cell r="D698" t="str">
            <v>Manufacturing Expenses - Factory Expenses</v>
          </cell>
          <cell r="E698">
            <v>0</v>
          </cell>
          <cell r="F698">
            <v>0</v>
          </cell>
          <cell r="G698">
            <v>0</v>
          </cell>
          <cell r="H698">
            <v>0</v>
          </cell>
          <cell r="I698">
            <v>0</v>
          </cell>
          <cell r="J698">
            <v>0</v>
          </cell>
          <cell r="K698">
            <v>136710</v>
          </cell>
          <cell r="L698">
            <v>0</v>
          </cell>
          <cell r="M698">
            <v>136710</v>
          </cell>
          <cell r="N698">
            <v>0</v>
          </cell>
          <cell r="O698">
            <v>0</v>
          </cell>
          <cell r="P698">
            <v>0</v>
          </cell>
        </row>
        <row r="699">
          <cell r="A699" t="str">
            <v>Waste Desposable Expenses(Plastic Dispose)</v>
          </cell>
          <cell r="B699">
            <v>26</v>
          </cell>
          <cell r="C699" t="str">
            <v>Other Expenses</v>
          </cell>
          <cell r="D699" t="str">
            <v>Manufacturing Expenses - Factory Expenses</v>
          </cell>
          <cell r="E699">
            <v>199906.5</v>
          </cell>
          <cell r="F699">
            <v>0</v>
          </cell>
          <cell r="G699">
            <v>199906.5</v>
          </cell>
          <cell r="H699">
            <v>0</v>
          </cell>
          <cell r="I699">
            <v>0</v>
          </cell>
          <cell r="J699">
            <v>0</v>
          </cell>
          <cell r="K699">
            <v>0</v>
          </cell>
          <cell r="L699">
            <v>0</v>
          </cell>
          <cell r="M699">
            <v>0</v>
          </cell>
          <cell r="N699">
            <v>0</v>
          </cell>
          <cell r="O699">
            <v>0</v>
          </cell>
          <cell r="P699">
            <v>0</v>
          </cell>
        </row>
        <row r="700">
          <cell r="A700" t="str">
            <v>Waste Material Shed - 2</v>
          </cell>
          <cell r="B700">
            <v>10</v>
          </cell>
          <cell r="C700" t="str">
            <v>Fixed Assets</v>
          </cell>
          <cell r="D700" t="str">
            <v>Tangible Asset</v>
          </cell>
          <cell r="E700">
            <v>0</v>
          </cell>
          <cell r="F700">
            <v>0</v>
          </cell>
          <cell r="G700">
            <v>0</v>
          </cell>
          <cell r="H700">
            <v>0</v>
          </cell>
          <cell r="I700">
            <v>0</v>
          </cell>
          <cell r="J700">
            <v>0</v>
          </cell>
          <cell r="K700">
            <v>0</v>
          </cell>
          <cell r="L700">
            <v>0</v>
          </cell>
          <cell r="M700">
            <v>0</v>
          </cell>
          <cell r="N700">
            <v>0</v>
          </cell>
          <cell r="O700">
            <v>0</v>
          </cell>
          <cell r="P700">
            <v>0</v>
          </cell>
        </row>
        <row r="701">
          <cell r="A701" t="str">
            <v>Waste Material Shed 01</v>
          </cell>
          <cell r="B701">
            <v>10</v>
          </cell>
          <cell r="C701" t="str">
            <v>Fixed Assets</v>
          </cell>
          <cell r="D701" t="str">
            <v>Tangible Asset</v>
          </cell>
          <cell r="E701">
            <v>0</v>
          </cell>
          <cell r="F701">
            <v>0</v>
          </cell>
          <cell r="G701">
            <v>0</v>
          </cell>
          <cell r="H701">
            <v>0</v>
          </cell>
          <cell r="I701">
            <v>0</v>
          </cell>
          <cell r="J701">
            <v>0</v>
          </cell>
          <cell r="K701">
            <v>0</v>
          </cell>
          <cell r="L701">
            <v>0</v>
          </cell>
          <cell r="M701">
            <v>0</v>
          </cell>
          <cell r="N701">
            <v>0</v>
          </cell>
          <cell r="O701">
            <v>0</v>
          </cell>
          <cell r="P701">
            <v>0</v>
          </cell>
        </row>
        <row r="702">
          <cell r="A702" t="str">
            <v>Waste Paper Feeding  Charges</v>
          </cell>
          <cell r="B702">
            <v>26</v>
          </cell>
          <cell r="C702" t="str">
            <v>Other Expenses</v>
          </cell>
          <cell r="D702" t="str">
            <v>Manufacturing Expenses - Waste Paper Feeding Chgs</v>
          </cell>
          <cell r="E702">
            <v>6659960</v>
          </cell>
          <cell r="F702">
            <v>0</v>
          </cell>
          <cell r="G702">
            <v>6659960</v>
          </cell>
          <cell r="H702">
            <v>0</v>
          </cell>
          <cell r="I702">
            <v>0</v>
          </cell>
          <cell r="J702">
            <v>0</v>
          </cell>
          <cell r="K702">
            <v>6522638</v>
          </cell>
          <cell r="L702">
            <v>0</v>
          </cell>
          <cell r="M702">
            <v>6522638</v>
          </cell>
          <cell r="N702">
            <v>0</v>
          </cell>
          <cell r="O702">
            <v>0</v>
          </cell>
          <cell r="P702">
            <v>0</v>
          </cell>
        </row>
        <row r="703">
          <cell r="A703" t="str">
            <v>Waste Paper Purchase</v>
          </cell>
          <cell r="B703">
            <v>22</v>
          </cell>
          <cell r="C703" t="str">
            <v>Raw Material Consumed</v>
          </cell>
          <cell r="D703" t="str">
            <v>Raw Material Purchase</v>
          </cell>
          <cell r="E703">
            <v>237660256</v>
          </cell>
          <cell r="F703">
            <v>0</v>
          </cell>
          <cell r="G703">
            <v>237660256</v>
          </cell>
          <cell r="H703">
            <v>0</v>
          </cell>
          <cell r="I703">
            <v>0</v>
          </cell>
          <cell r="J703">
            <v>0</v>
          </cell>
          <cell r="K703">
            <v>274123635.5</v>
          </cell>
          <cell r="L703">
            <v>0</v>
          </cell>
          <cell r="M703">
            <v>274123635.5</v>
          </cell>
          <cell r="N703">
            <v>0</v>
          </cell>
          <cell r="O703">
            <v>0</v>
          </cell>
          <cell r="P703">
            <v>0</v>
          </cell>
        </row>
        <row r="704">
          <cell r="A704" t="str">
            <v>Weigh Bridge Room</v>
          </cell>
          <cell r="B704">
            <v>10</v>
          </cell>
          <cell r="C704" t="str">
            <v>Fixed Assets</v>
          </cell>
          <cell r="D704" t="str">
            <v>Tangible Asset</v>
          </cell>
          <cell r="E704">
            <v>0</v>
          </cell>
          <cell r="F704">
            <v>0</v>
          </cell>
          <cell r="G704">
            <v>0</v>
          </cell>
          <cell r="H704">
            <v>0</v>
          </cell>
          <cell r="I704">
            <v>0</v>
          </cell>
          <cell r="J704">
            <v>0</v>
          </cell>
          <cell r="K704">
            <v>0</v>
          </cell>
          <cell r="L704">
            <v>0</v>
          </cell>
          <cell r="M704">
            <v>0</v>
          </cell>
          <cell r="N704">
            <v>0</v>
          </cell>
          <cell r="O704">
            <v>0</v>
          </cell>
          <cell r="P704">
            <v>0</v>
          </cell>
        </row>
        <row r="705">
          <cell r="A705" t="str">
            <v>West Shed of BSR</v>
          </cell>
          <cell r="B705">
            <v>10</v>
          </cell>
          <cell r="C705" t="str">
            <v>Fixed Assets</v>
          </cell>
          <cell r="D705" t="str">
            <v>Tangible Asset</v>
          </cell>
          <cell r="E705">
            <v>0</v>
          </cell>
          <cell r="F705">
            <v>0</v>
          </cell>
          <cell r="G705">
            <v>0</v>
          </cell>
          <cell r="H705">
            <v>0</v>
          </cell>
          <cell r="I705">
            <v>0</v>
          </cell>
          <cell r="J705">
            <v>0</v>
          </cell>
          <cell r="K705">
            <v>0</v>
          </cell>
          <cell r="L705">
            <v>0</v>
          </cell>
          <cell r="M705">
            <v>0</v>
          </cell>
          <cell r="N705">
            <v>0</v>
          </cell>
          <cell r="O705">
            <v>0</v>
          </cell>
          <cell r="P705">
            <v>0</v>
          </cell>
        </row>
        <row r="706">
          <cell r="A706" t="str">
            <v>Western Coal Fields Ltd.</v>
          </cell>
          <cell r="B706">
            <v>17</v>
          </cell>
          <cell r="C706" t="str">
            <v>Short Term Loans &amp; Advances</v>
          </cell>
          <cell r="D706" t="str">
            <v>Advance to Suppliers</v>
          </cell>
          <cell r="E706">
            <v>0</v>
          </cell>
          <cell r="F706">
            <v>0</v>
          </cell>
          <cell r="G706">
            <v>0</v>
          </cell>
          <cell r="H706">
            <v>732903.6</v>
          </cell>
          <cell r="I706">
            <v>0</v>
          </cell>
          <cell r="J706">
            <v>732903.6</v>
          </cell>
          <cell r="K706">
            <v>0</v>
          </cell>
          <cell r="L706">
            <v>0</v>
          </cell>
          <cell r="M706">
            <v>0</v>
          </cell>
          <cell r="N706">
            <v>759998.6</v>
          </cell>
          <cell r="O706">
            <v>0</v>
          </cell>
          <cell r="P706">
            <v>759998.6</v>
          </cell>
        </row>
        <row r="707">
          <cell r="A707" t="str">
            <v>W-I-P Building</v>
          </cell>
          <cell r="B707">
            <v>10</v>
          </cell>
          <cell r="C707" t="str">
            <v>Fixed Assets</v>
          </cell>
          <cell r="D707" t="str">
            <v>Capital WIP</v>
          </cell>
          <cell r="E707">
            <v>172560</v>
          </cell>
          <cell r="F707">
            <v>0</v>
          </cell>
          <cell r="G707">
            <v>172560</v>
          </cell>
          <cell r="H707">
            <v>0</v>
          </cell>
          <cell r="I707">
            <v>0</v>
          </cell>
          <cell r="J707">
            <v>0</v>
          </cell>
          <cell r="K707">
            <v>0</v>
          </cell>
          <cell r="L707">
            <v>0</v>
          </cell>
          <cell r="M707">
            <v>0</v>
          </cell>
          <cell r="N707">
            <v>0</v>
          </cell>
          <cell r="O707">
            <v>0</v>
          </cell>
          <cell r="P707">
            <v>0</v>
          </cell>
        </row>
        <row r="708">
          <cell r="A708" t="str">
            <v>Xerox Charges</v>
          </cell>
          <cell r="B708">
            <v>26</v>
          </cell>
          <cell r="C708" t="str">
            <v>Other Expenses</v>
          </cell>
          <cell r="D708" t="str">
            <v>Establishment Expenses-General Expenses</v>
          </cell>
          <cell r="E708">
            <v>5716</v>
          </cell>
          <cell r="F708">
            <v>0</v>
          </cell>
          <cell r="G708">
            <v>5716</v>
          </cell>
          <cell r="H708">
            <v>0</v>
          </cell>
          <cell r="I708">
            <v>0</v>
          </cell>
          <cell r="J708">
            <v>0</v>
          </cell>
          <cell r="K708">
            <v>14690</v>
          </cell>
          <cell r="L708">
            <v>0</v>
          </cell>
          <cell r="M708">
            <v>14690</v>
          </cell>
          <cell r="N708">
            <v>0</v>
          </cell>
          <cell r="O708">
            <v>0</v>
          </cell>
          <cell r="P708">
            <v>0</v>
          </cell>
        </row>
        <row r="709">
          <cell r="A709" t="str">
            <v>Yadav Engineering</v>
          </cell>
          <cell r="B709">
            <v>7</v>
          </cell>
          <cell r="C709" t="str">
            <v>Trade Payables</v>
          </cell>
          <cell r="D709" t="str">
            <v>Trade Payables</v>
          </cell>
          <cell r="E709">
            <v>0</v>
          </cell>
          <cell r="F709">
            <v>0</v>
          </cell>
          <cell r="G709">
            <v>0</v>
          </cell>
          <cell r="H709">
            <v>0</v>
          </cell>
          <cell r="I709">
            <v>0</v>
          </cell>
          <cell r="J709">
            <v>0</v>
          </cell>
          <cell r="K709">
            <v>0</v>
          </cell>
          <cell r="L709">
            <v>0</v>
          </cell>
          <cell r="M709">
            <v>0</v>
          </cell>
          <cell r="N709">
            <v>22041</v>
          </cell>
          <cell r="O709">
            <v>0</v>
          </cell>
          <cell r="P709">
            <v>22041</v>
          </cell>
        </row>
        <row r="710">
          <cell r="A710" t="str">
            <v>YASH COMMERCIALS</v>
          </cell>
          <cell r="B710">
            <v>15</v>
          </cell>
          <cell r="C710" t="str">
            <v>Trade Receivables</v>
          </cell>
          <cell r="D710" t="str">
            <v>Other Debts</v>
          </cell>
          <cell r="E710">
            <v>18052885</v>
          </cell>
          <cell r="F710">
            <v>0</v>
          </cell>
          <cell r="G710">
            <v>18052885</v>
          </cell>
          <cell r="H710">
            <v>0</v>
          </cell>
          <cell r="I710">
            <v>0</v>
          </cell>
          <cell r="J710">
            <v>0</v>
          </cell>
          <cell r="K710">
            <v>19528757</v>
          </cell>
          <cell r="L710">
            <v>0</v>
          </cell>
          <cell r="M710">
            <v>19528757</v>
          </cell>
          <cell r="N710">
            <v>0</v>
          </cell>
          <cell r="O710">
            <v>0</v>
          </cell>
          <cell r="P710">
            <v>0</v>
          </cell>
        </row>
        <row r="711">
          <cell r="A711" t="str">
            <v>Yash Electric Co.</v>
          </cell>
          <cell r="B711">
            <v>7</v>
          </cell>
          <cell r="C711" t="str">
            <v>Trade Payables</v>
          </cell>
          <cell r="D711" t="str">
            <v>Trade Payables - Others</v>
          </cell>
          <cell r="E711">
            <v>0</v>
          </cell>
          <cell r="F711">
            <v>0</v>
          </cell>
          <cell r="G711">
            <v>0</v>
          </cell>
          <cell r="H711">
            <v>0</v>
          </cell>
          <cell r="I711">
            <v>0</v>
          </cell>
          <cell r="J711">
            <v>0</v>
          </cell>
          <cell r="K711">
            <v>0</v>
          </cell>
          <cell r="L711">
            <v>0</v>
          </cell>
          <cell r="M711">
            <v>0</v>
          </cell>
          <cell r="N711">
            <v>14337</v>
          </cell>
          <cell r="O711">
            <v>0</v>
          </cell>
          <cell r="P711">
            <v>14337</v>
          </cell>
        </row>
        <row r="712">
          <cell r="A712" t="str">
            <v>W-I-P Plant &amp; Machinery</v>
          </cell>
          <cell r="B712">
            <v>10</v>
          </cell>
          <cell r="C712" t="str">
            <v>Fixed Assets</v>
          </cell>
          <cell r="D712" t="str">
            <v>Capital WIP</v>
          </cell>
          <cell r="E712">
            <v>229919.2</v>
          </cell>
          <cell r="F712">
            <v>0</v>
          </cell>
          <cell r="G712">
            <v>229919.2</v>
          </cell>
          <cell r="H712">
            <v>0</v>
          </cell>
          <cell r="I712">
            <v>0</v>
          </cell>
          <cell r="J712">
            <v>0</v>
          </cell>
          <cell r="K712">
            <v>484789</v>
          </cell>
          <cell r="L712">
            <v>0</v>
          </cell>
          <cell r="M712">
            <v>484789</v>
          </cell>
          <cell r="N712">
            <v>0</v>
          </cell>
          <cell r="O712">
            <v>0</v>
          </cell>
          <cell r="P712">
            <v>0</v>
          </cell>
        </row>
        <row r="713">
          <cell r="A713" t="str">
            <v>Zenith Rubber Pvt. Ltd.</v>
          </cell>
          <cell r="B713">
            <v>17</v>
          </cell>
          <cell r="C713" t="str">
            <v>Short Term Loans &amp; Advances</v>
          </cell>
          <cell r="D713" t="str">
            <v>Advance to Suppliers</v>
          </cell>
          <cell r="E713">
            <v>0</v>
          </cell>
          <cell r="F713">
            <v>0</v>
          </cell>
          <cell r="G713">
            <v>0</v>
          </cell>
          <cell r="H713">
            <v>0</v>
          </cell>
          <cell r="I713">
            <v>0</v>
          </cell>
          <cell r="J713">
            <v>0</v>
          </cell>
          <cell r="K713">
            <v>0</v>
          </cell>
          <cell r="L713">
            <v>0</v>
          </cell>
          <cell r="M713">
            <v>0</v>
          </cell>
          <cell r="N713">
            <v>0</v>
          </cell>
          <cell r="O713">
            <v>0</v>
          </cell>
          <cell r="P713">
            <v>0</v>
          </cell>
        </row>
        <row r="714">
          <cell r="A714" t="str">
            <v>Zibo Huacheng Imp And Exp. Co. Ltd.</v>
          </cell>
          <cell r="B714">
            <v>8</v>
          </cell>
          <cell r="C714" t="str">
            <v>Long Term Loans &amp; Advances</v>
          </cell>
          <cell r="D714" t="str">
            <v>Advance For Capital Goods</v>
          </cell>
          <cell r="E714">
            <v>0</v>
          </cell>
          <cell r="F714">
            <v>0</v>
          </cell>
          <cell r="G714">
            <v>0</v>
          </cell>
          <cell r="H714">
            <v>0</v>
          </cell>
          <cell r="I714">
            <v>0</v>
          </cell>
          <cell r="J714">
            <v>0</v>
          </cell>
          <cell r="K714">
            <v>1521769</v>
          </cell>
          <cell r="L714">
            <v>0</v>
          </cell>
          <cell r="M714">
            <v>1521769</v>
          </cell>
          <cell r="N714">
            <v>0</v>
          </cell>
          <cell r="O714">
            <v>0</v>
          </cell>
          <cell r="P714">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mit" refreshedDate="44015.370553703702" createdVersion="6" refreshedVersion="6" minRefreshableVersion="3" recordCount="537">
  <cacheSource type="worksheet">
    <worksheetSource ref="A4:Q541" sheet="TB MAIN"/>
  </cacheSource>
  <cacheFields count="17">
    <cacheField name="PARTICULARS" numFmtId="0">
      <sharedItems count="537">
        <s v="A K R G &amp; Associates, Nagpur"/>
        <s v="Aditya Freight Carriers"/>
        <s v="Advance Income Tax (A.Y. 2019-20)"/>
        <s v="Advance Income Tax (A.Y. 2020-21)"/>
        <s v="Advertisement Expenses"/>
        <s v="AJANTA KRAFT"/>
        <s v="Akhilesh Automobiles"/>
        <s v="Align Components (P) Ltd.,"/>
        <s v="ALIGN COMPONENTS (P) LTD., (BU-II)"/>
        <s v="ALLIANCE INTERNATIONAL DWC-LLC"/>
        <s v="Ambuja Cements Ltd."/>
        <s v="Amol Kakade"/>
        <s v="Amruta Enterprises, Nagpur"/>
        <s v="ANAMIKA TRADERS"/>
        <s v="DR. B. P. TAORI"/>
        <s v="Sri Shiv Sai Transport Co."/>
        <s v="Anilkumar M. Lakhotiya (Loan A/C)"/>
        <s v="ANISH INDUSTRIES"/>
        <s v="Anita Lakhotiya"/>
        <s v="Ankur Seeds Pvt. Ltd., Nagpur"/>
        <s v="Annual Custody Fees"/>
        <s v="Annual Listing Fees"/>
        <s v="Anurag Steel"/>
        <s v="ARIHANT ENTERPRISES"/>
        <s v="ARIHANT ENTERPRISES (KEDAR)"/>
        <s v="Arkil Chem P. Ltd."/>
        <s v="Aru Technocratics"/>
        <s v="Assessment Refund"/>
        <s v="Atul V Hurkat HUF"/>
        <s v="Audit Expenses (Darak)"/>
        <s v="Audit Expenses (Walter)"/>
        <s v="Audit Expenses : (Excise)"/>
        <s v="Audit Fees Payable"/>
        <s v="Bad Debts"/>
        <s v="Balaji Enterprises"/>
        <s v="Baljit Kaur Manindersingh Saini"/>
        <s v="Bank Commission &amp; Charges"/>
        <s v="Bank Facility Charges"/>
        <s v="BANK GUARANTEE CHARGES"/>
        <s v="Bank Loan Processing Fees"/>
        <s v="Batish Chemicals I India Pvt.Ltd."/>
        <s v="Bearing Centre"/>
        <s v="Best Engineering Works Regd. Punjab"/>
        <s v="BHARADWAJ PACKAGING PVT. LTD."/>
        <s v="BHOLANATH MITRA"/>
        <s v="Boiler Fireman  (Feeding Charges)"/>
        <s v="Books News Paper &amp; Perodicals"/>
        <s v="Building"/>
        <s v="Capital Reserves"/>
        <s v="Carriage Inward (Sale)"/>
        <s v="Carriage Inward : Machinery Rep&amp;Maint"/>
        <s v="Carriage Inward { Store }"/>
        <s v="Carriage Outward Machinery"/>
        <s v="Cash"/>
        <s v="CGST @ 9% ON OTHER PURCHASE"/>
        <s v="CGST @9% on Other Sales"/>
        <s v="SGST @9% ON OTHER SALES"/>
        <s v="CGST Payable ( F. Y. 2018-19)"/>
        <s v="CGST Payable ( F.Y. 2017-18)"/>
        <s v="CGST Payable ( F.Y. 2019-20 )"/>
        <s v="CHACHA GOODS CARRIERS"/>
        <s v="Chandak Nursing Home"/>
        <s v="CHANDRA COAL PVT. LTD. (SALE)"/>
        <s v="CHANDRA COAL PVT.LTD."/>
        <s v="CHANDRA SALES CORPORATION [ WP]"/>
        <s v="CHANDRA SALES CORPORATION(SALE)"/>
        <s v="Chandrashekhar Balki"/>
        <s v="Chemical Purchase"/>
        <s v="Chowdhary Packagers"/>
        <s v="CIPARO B.V."/>
        <s v="Clearing &amp; Forwarding on WP Import"/>
        <s v="Clearing &amp; Fwd. Chgs.On Import M/C"/>
        <s v="Coal Liasioning Charges"/>
        <s v="Coal Purchase"/>
        <s v="COMMISSION ON SALES (HSN/SAC : 9961)"/>
        <s v="Commission On Sales Account"/>
        <s v="Computer"/>
        <s v="Consultation Charges"/>
        <s v="CONTAINER CORPORATION OF INDIA LTD"/>
        <s v="Contribution to ESIC Payable"/>
        <s v="Contribution To P.F. Payable"/>
        <s v="Conveyance Expenses"/>
        <s v="Conveyance To Directors"/>
        <s v="COSMIC CORPORATION"/>
        <s v="Courier &amp; Postage Charges"/>
        <s v="Credit Not Availed Ag.GST (F.Y. 18-19)"/>
        <s v="CSR Expenses"/>
        <s v="CST Payable  (F.Y. 2016- 17 )"/>
        <s v="Cst Tax Expenses"/>
        <s v="Dandong Shengxing Paper Machinery, China"/>
        <s v="Deekay &amp; Company"/>
        <s v="DEEP SALES CORPORATION"/>
        <s v="Deferred Tax Liabilities (Net)"/>
        <s v="Deposit for  COAL to MSMC"/>
        <s v="Deposit for LPG Domestic Cylender Connection"/>
        <s v="DEPOSIT FOR SBI  BG 3,90,000 [ TDR. 37091487639]"/>
        <s v="Deposit with Import (OCC)"/>
        <s v="Deposit with M.S.E.B."/>
        <s v="Deposit With SBI for MPCB 5 Lac BG [Rs.1,25,000]"/>
        <s v="Deposits For Office Premises"/>
        <s v="Deposits For Telephone"/>
        <s v="Deposits Group Gratuity Fund"/>
        <s v="Deposits with S.B.I. for LC Margin Rs.3,75,000/-"/>
        <s v="Depreciation Electrical Installation"/>
        <s v="Depreciation On Building"/>
        <s v="Depreciation On Computer"/>
        <s v="Depreciation on Furniture &amp; Fixture"/>
        <s v="Depreciation on Office Equipment"/>
        <s v="Depreciation On Plant &amp; Machinery"/>
        <s v="Depreciation on Vehicle"/>
        <s v="DEV CHEMICAL"/>
        <s v="Dhanraj Raut"/>
        <s v="Dhawal Dinesh Kawade"/>
        <s v="DILIPKUMAR PATEL"/>
        <s v="Directors Sitting Fees"/>
        <s v="Discount &amp; Billing Diff Account (HSN/SAC: 4804)"/>
        <s v="DISTRIBUTION LOGISTICS INFRASTRUCTURE PVT.LTD."/>
        <s v="Dividend Payable"/>
        <s v="Payable to Investor education &amp; Protection Fund"/>
        <s v="Donation Account"/>
        <s v="Drashta Power Consultants Pvt. Ltd."/>
        <s v="DURGA INDUSTRIAL  SECURITY, NAGPUR"/>
        <s v="Durga Traders"/>
        <s v="ECONOMIC PACKAGING CORPORATION"/>
        <s v="Electrical Installation"/>
        <s v="Equity Share Capital"/>
        <s v="ESIC (Employees State Insurance Corpn)"/>
        <s v="E-TDS Filing Charges"/>
        <s v="E-Voting Expenses"/>
        <s v="Ex Gratia Payment"/>
        <s v="Excise Aud Para Expenses"/>
        <s v="Exempted Ag.Chemical Purchase"/>
        <s v="Export Expenses for Clearing &amp; Forwarding"/>
        <s v="EXPORT SALE"/>
        <s v="Factory Cleaning Charges"/>
        <s v="Factory Misc Expenses"/>
        <s v="Factory Power &amp; Electricity Charges"/>
        <s v="Factory Tea &amp; Other Expenses"/>
        <s v="Fees To Registrar"/>
        <s v="Finished Goods Expenses"/>
        <s v="Finished Goods Packing &amp; Allied Charges"/>
        <s v="Finished Goods Packing &amp; Allied Payable"/>
        <s v="First Flight Couriers Ltd."/>
        <s v="Flexible Abrasives Pvt.Ltd., Ar'bad"/>
        <s v="For B G Rs.58000/- (AC 325726636355)"/>
        <s v="For BG 350000 for WCL :A/c 34928264708"/>
        <s v="For BG[MSEB] 12.50 LAC :A/c 35633066338"/>
        <s v="Foreign Exchange Fluctuation"/>
        <s v="Franking Charges for Import O.C.C."/>
        <s v="Franking Charges Payable Ag Import OCC"/>
        <s v="Freehold Land"/>
        <s v="FREIGHT ( SALES)"/>
        <s v="Furniture &amp; Fixture"/>
        <s v="Ganga Iron &amp; Steel Trading Co.Ltd."/>
        <s v="Ganpat Steel Industries"/>
        <s v="General Reserves"/>
        <s v="Globe Engineering Company"/>
        <s v="Gratuity To Staff"/>
        <s v="Green Agro Industries"/>
        <s v="GST Annual Filing Chgs. FY 17-18"/>
        <s v="GST Audit Fees"/>
        <s v="GST Audit Fees A. Y. 2019-2020"/>
        <s v="GST Audit Fees F.Y.2018-19"/>
        <s v="GST Audit Fees (Shah Baheti Chandak)"/>
        <s v="GST Audit Fees Payable"/>
        <s v="GST E-Return Charges"/>
        <s v="Gujrat Ambuja Exports Ltd.,"/>
        <s v="Gupta Machinery Stores, Nagpur"/>
        <s v="Hazelkaur Manindersingh Saini"/>
        <s v="Hemant Mahure"/>
        <s v="Hindustan Mill Stores, Nagpur"/>
        <s v="HORIZON PACKS PVT. LTD."/>
        <s v="House Rent"/>
        <s v="IGST Payable ( F. Y. 2018-19)"/>
        <s v="IGST Payable ( F. Y. 2019-20 )"/>
        <s v="IGST Payable (F.Y. 2017-18)"/>
        <s v="IKP Industries Pvt. Ltd."/>
        <s v="Import Waste Paper Purchase"/>
        <s v="Incentive/ Bonus Payable"/>
        <s v="Incentive/ Bonus to Staff"/>
        <s v="Inder Trade &amp; Industry, Bikaner"/>
        <s v="Indocast Industries"/>
        <s v="INDRAYANI PAPER PORD. PVT. LTD."/>
        <s v="Innovative Solutions &amp; System"/>
        <s v="Insurance Charges For Marine"/>
        <s v="Insurance Charges for Marine Export"/>
        <s v="Insurance Charges To Other"/>
        <s v="Insurance Claim Receivable( Accident Claim)"/>
        <s v="Insurance Pre-Paid"/>
        <s v="Interest  From Bank (F.D.)"/>
        <s v="Other Income"/>
        <s v="Provision of Earlier Year"/>
        <s v="Interest  on Excise Duty"/>
        <s v="Interest Accured On Deposit"/>
        <s v="Interest for Car Loan to Sundaram Finance"/>
        <s v="Interest For Forklift to Sundaram Finance"/>
        <s v="Interest For Tractor to Sundaram Finance"/>
        <s v="Interest on Add.T/L (1.5Cr)...6669"/>
        <s v="Interest on Bank Term Loan ( 2 Cr.)...0563"/>
        <s v="Interest on CGST"/>
        <s v="Interest On Custom Duty"/>
        <s v="Interest On IGST"/>
        <s v="Interest on Income Tax"/>
        <s v="INTEREST ON PROFESSIONAL TAX"/>
        <s v="Interest on Provident Fund"/>
        <s v="Interest On Sales Tax"/>
        <s v="Interest on SGST"/>
        <s v="Interest On Tds"/>
        <s v="Interest on VAT A.Y. 14-15"/>
        <s v="Interest on Vat F.Y. 2015-16"/>
        <s v="Interest Payable"/>
        <s v="Interest To Bank"/>
        <s v="Interest to Bank on T/L (1.5 Cr.).....3547"/>
        <s v="Interest to Bank on T/L (4 Cr.)....80072"/>
        <s v="Interest To Others"/>
        <s v="Internal Audit Fees (Khandelwal)"/>
        <s v="INTRATECH"/>
        <s v="J.S.M. Marketing, Nagpur"/>
        <s v="JAGPIN BREWERIES LTD."/>
        <s v="JAI MAHALAXMI ENTERPRISES"/>
        <s v="Jai Mata Di Waste Paper"/>
        <s v="Jainam Multi-Product (India) Pvt Ltd"/>
        <s v="JANAKSONS &amp; COMPANY"/>
        <s v="Jarnailsingh Saini (Loan A/c)"/>
        <s v="JB Lightings"/>
        <s v="Jenson International"/>
        <s v="Jenson Trading Corporation"/>
        <s v="JIGAR TRADING COMPANY"/>
        <s v="JINDAL MEDICOSE, NAGPUR"/>
        <s v="Jitendra Nikhare"/>
        <s v="Jus Enterprises"/>
        <s v="K.R.V. Express"/>
        <s v="Kailash Kaur Jarnailsingh Saini"/>
        <s v="KARAN ENTERPRISES (WP)"/>
        <s v="KEDAR PAPER CONVERSIONS"/>
        <s v="Kunal Jain"/>
        <s v="L. A. Trading Company"/>
        <s v="L.I.C. Payable"/>
        <s v="Labour Welfare Fund"/>
        <s v="LAKHOTIYA TRADERS PVT. LTD."/>
        <s v="Lakhotiya Traders Pvt. Ltd. (Sale)"/>
        <s v="Lark Dyechem"/>
        <s v="Late Fee"/>
        <s v="Lc Charges"/>
        <s v="Leave Encashment"/>
        <s v="Leave Encashment Payable"/>
        <s v="Legal &amp; Proffessional  Charges"/>
        <s v="Lusha Print N Pack"/>
        <s v="Maa Tarini Traders"/>
        <s v="Machinery Exp for Boiler Material BED"/>
        <s v="Machinery Repair &amp; Maint Diesel Exp."/>
        <s v="Machinery Repair &amp; Maint To Electrical"/>
        <s v="Machinery Repair &amp; Maintenance"/>
        <s v="Mahalaxmi Fire Services, Nagpur"/>
        <s v="Maharashtra State Mining Corp. Ltd."/>
        <s v="Mahesh Mirashe"/>
        <s v="Makharia Machineries Pvt. Ltd."/>
        <s v="Manish Computer"/>
        <s v="Manohar Rewatkar"/>
        <s v="Manoj Gore"/>
        <s v="MAT Credit Entitlement (A.Y. 14-15)"/>
        <s v="Mat Credit Entitlement (A.Y. 2012-13)"/>
        <s v="MAT Credit Entitlement A.Y. 15-16"/>
        <s v="Mat Credit Entitlement A.Y.2018-19"/>
        <s v="MAT Utilised (A.Y.13-14)"/>
        <s v="MCS Share Tranfer Agent Limited"/>
        <s v="Medical Aids To Staff"/>
        <s v="Membership &amp; Subscription"/>
        <s v="Metropolitan Stock Exchange of India(MSEI)"/>
        <s v="Mohd. Anish Abdul Aziz"/>
        <s v="MOHIT PAPER PACKAGING INDUSTRY"/>
        <s v="MSC Agency (India) Pvt. Ltd."/>
        <s v="MSC Mediterranean Shipping Company S.A."/>
        <s v="Nagpur Telangana Roadways"/>
        <s v="Narayan Auto Part Service"/>
        <s v="Narayan Prasad Warthi"/>
        <s v="NEWPORT CH INTERNATIONAL LLC"/>
        <s v="Nilkanth Nikhare"/>
        <s v="NINGBO KIN-LINK FRICTION CO. LTD.(Export)"/>
        <s v="Niraj Engineering Co. Pvt. Ltd"/>
        <s v="Niranjan Koche"/>
        <s v="Non -Eligible GST (Disallowed)"/>
        <s v="Non Receivable GST Prior Expenses"/>
        <s v="Non-Receivable Excise Expenses"/>
        <s v="Office Cleaning Charges"/>
        <s v="Office Electricity Charges"/>
        <s v="Office Electricity Payable"/>
        <s v="Office Equipment"/>
        <s v="Office Misc. Expenses"/>
        <s v="Office Rent"/>
        <s v="Office Tea &amp; Other Exp."/>
        <s v="OM SAI ENGINEERING"/>
        <s v="Opening Stock"/>
        <s v="ORIENTAL TRADING COMPANY"/>
        <s v="ORIGAMI CELLULO PVT.LTD."/>
        <s v="Other Charges : Chemical"/>
        <s v="Other Charges : Chemical (NON-GST)"/>
        <s v="Other Charges : Coal"/>
        <s v="Other Charges : M/c Repair &amp; Maint."/>
        <s v="Other Charges : Packing (Non-GST)"/>
        <s v="Other Charges : Packing Material"/>
        <s v="Other Charges :- Repair &amp; Maint Building"/>
        <s v="Other Charges : Vehicle Repair &amp; Maint."/>
        <s v="Other Import OCC Expenses"/>
        <s v="Other Professional Fees (Darak)"/>
        <s v="Other Professional Fees : (Shah Baheti)"/>
        <s v="Other Professional Fees : (Walter)"/>
        <s v="PACKING CHARGES"/>
        <s v="Packing Material Purchase"/>
        <s v="PACKSAFE"/>
        <s v="PANCHSHEEL TRADING CORPN., NAGPUR"/>
        <s v="Payable to Boiler Fireman Charges"/>
        <s v="Payable To Raw Material Sorting"/>
        <s v="Payable Waste Paper Feeding Charges"/>
        <s v="PENALTY ON CGST"/>
        <s v="Penalty on Custom Duty"/>
        <s v="Penalty on Excise Duty"/>
        <s v="PENALTY ON SGST"/>
        <s v="Penalty to Compliance (MSEI)"/>
        <s v="Plant &amp; Machinery"/>
        <s v="Pooja Atul Hurkat"/>
        <s v="Pooja Expenses"/>
        <s v="Power &amp; Electricity Payable"/>
        <s v="Power Incentive Received"/>
        <s v="PR GLOBAL RESOURCES INDIA PRIVATE  LIMITED"/>
        <s v="Pragathi Bearing Company"/>
        <s v="Prakash Chaple"/>
        <s v="PRANSHU PAPER PVT. LTD."/>
        <s v="Prayag Industries"/>
        <s v="Premier India Road Service, Nagpur"/>
        <s v="Pre-Paid Renewal &amp; Registration"/>
        <s v="Interest Receivable"/>
        <s v="PRIYANKA TECHNOPACK PVT. LTD."/>
        <s v="Professional Fees"/>
        <s v="Professional Tax"/>
        <s v="Profit &amp; Loss A/C"/>
        <s v="Profit on Sale of Asset"/>
        <s v="Profit on Sales Tax Under P.S.I.Scheme"/>
        <s v="Provident Fund Contribution Exp."/>
        <s v="Provision for Acturial Gratuity"/>
        <s v="Provision for Depreciation Building"/>
        <s v="Provision For Depreciation Computer"/>
        <s v="Provision For Depreciation Electrical Installation"/>
        <s v="Provision for Depreciation Factory Building"/>
        <s v="Provision For Depreciation Furniture &amp; Fixture"/>
        <s v="Provision For Depreciation Office Equipment"/>
        <s v="Provision For Depreciation Plant &amp; Machinery"/>
        <s v="Provision For Depreciation Vehicle"/>
        <s v="Provision for I.T, A.Y.2017-18"/>
        <s v="Income Tax Receivable (Refund)"/>
        <s v="Provision For I.T. A.Y, 2005-06"/>
        <s v="Provision for I.T. A.Y, 2013-14"/>
        <s v="Provision for I.T. A.Y. 2008-09"/>
        <s v="Provision for Income Tax (A.Y.2019-20)"/>
        <s v="Provisions For Gratuity Payable"/>
        <s v="PSI Under Sales Tax Deferal Receivable"/>
        <s v="Punamchand &amp; Sons ( Jaliwala)"/>
        <s v="Punjab Machine Tools"/>
        <s v="Purchase Expenses : Chemical"/>
        <s v="Purchase Expenses : Coal"/>
        <s v="Purchase Expenses : Occ"/>
        <s v="Purchase Expenses : Packing Material"/>
        <s v="Purchase Expenses : Waste Paper"/>
        <s v="Purchase Import in Transit"/>
        <s v="Purchase Of Store"/>
        <s v="R &amp; Y LOGISTICS PVT. LTD"/>
        <s v="R. R. Controls"/>
        <s v="R.A. KRAFT PAPERS LIMITED,"/>
        <s v="R.C.CORRUPACK PVT. LTD."/>
        <s v="R.S. Kraft Papers Ltd"/>
        <s v="Raghav Enterprises"/>
        <s v="Raghuvir Parmar"/>
        <s v="Rajesh Gas Agencies"/>
        <s v="RAMKRISHNA PAPER MART"/>
        <s v="Rate Difference : Coal Purchase"/>
        <s v="Rates &amp; Taxes"/>
        <s v="Ravi Trading Company"/>
        <s v="Ravindra Kumbhare"/>
        <s v="Raw Material Sorting Charges"/>
        <s v="RCM CGST PAYABLE"/>
        <s v="RCM IGST PAYABLE"/>
        <s v="RCM on IGST  (Inward Supply)"/>
        <s v="RCM SGST PAYABLE"/>
        <s v="CGST @ 9% on OCC Expenses"/>
        <s v="INPUT RCM ON SGST"/>
        <s v="SGST @ 9% on OCC Expenses"/>
        <s v="Relief Lab Pvt. Ltd."/>
        <s v="Remuneration To Directors"/>
        <s v="Renewal &amp; Registration Expenses"/>
        <s v="Repair &amp; Maint. To Building"/>
        <s v="Repair &amp; Maintenance to Other Assets"/>
        <s v="Revaluation Reserve"/>
        <s v="ROC Filing Charges"/>
        <s v="ROUNAK STEEL"/>
        <s v="Round Offf"/>
        <s v="S.B.I. Dividend A/c 2011-12 [ A/C.NO. 32572411218]"/>
        <s v="S.B.I. Indl.Fin.Br. Trustee HPML Empl.G.G.Scheme"/>
        <s v="S.B.I. Term Loan ( 2 Cr) No. 35531440563"/>
        <s v="S.B.I. Term Loan A/c (033517180072)  4 Cr"/>
        <s v="S.B.I. Term Loan Additional (A/cNo.35294966669) 1.5"/>
        <s v="S.B.I. Term Loan New A/c (34484493547) 1.5 Cr"/>
        <s v="S.K.Gupta (P) Ltd,Nagpur"/>
        <s v="Sachin Dehankar"/>
        <s v="Safety Packagers (P) Ltd."/>
        <s v="Safexpress Pvt. Ltd."/>
        <s v="Saini Transport Co."/>
        <s v="Salary Payable"/>
        <s v="Salary to Company Secretary"/>
        <s v="Salary To Factory Adm. Staff"/>
        <s v="Salary To Office Staff"/>
        <s v="Salary To Other Factory Staff"/>
        <s v="Sale Transit Insurance @0.30%"/>
        <s v="SALES A/C GST"/>
        <s v="SALES A/C INTERASTATE"/>
        <s v="Sales Return Account (GST Sales)"/>
        <s v="SALES TAX ASSESSMENT 2012-13"/>
        <s v="Sanjamkaur Saini"/>
        <s v="Sanjay Fulzele"/>
        <s v="Sanjay Tiwari"/>
        <s v="Saraswati General Stores, Nagpur"/>
        <s v="Sartaj Manindersingh Saini"/>
        <s v="Saurashtra Marketing Corporation"/>
        <s v="Securities Premium (351165@25)"/>
        <s v="Security Service Charges"/>
        <s v="SEZ SALE (SPECIAL ECONOMIC ZONE)"/>
        <s v="SGST @ 9% ON OTHER PURCHASE"/>
        <s v="SGST Payable ( F. Y. 2018-19)"/>
        <s v="SGST Payable ( F. Y. 2019-20 )"/>
        <s v="SGST PAYABLE (F.Y. 2017-18)"/>
        <s v="Shah Baheti Chandak &amp; Co."/>
        <s v="Shahnawaj Khan"/>
        <s v="Shalimar Wire Industries Limited"/>
        <s v="Shankar Traders (Sale)"/>
        <s v="Shankar Trading Company"/>
        <s v="SHARADCHANDRA P. SHAH AGENCY PVT. LTD. , MUMBAI"/>
        <s v="SHARP GRAPHICS"/>
        <s v="Shiba Sambhu Traders Odisha"/>
        <s v="SHIVAM TRADERS, NAGPUR"/>
        <s v="Short Provision Against Insu. Claim"/>
        <s v="Short Provision of Incentive/Bonus"/>
        <s v="SHREE FLEX PRINT PVT.LTD."/>
        <s v="SHREE INDUSTRIES"/>
        <s v="Shree Trade Links (Pkg)"/>
        <s v="Shri Balaji Tradelink"/>
        <s v="SHRI SIDDHIVINAYAKA ENTERPRISES(Comm)"/>
        <s v="Shriram Packers"/>
        <s v="SHUBH PACK"/>
        <s v="SHUBHAM ENTERPRISES"/>
        <s v="Site Development Expenses"/>
        <s v="SIZE REBATE"/>
        <s v="Snehlata A. Lakhotiya"/>
        <s v="Somani Packers"/>
        <s v="SREERAM PACKING INDUSTRIES"/>
        <s v="Staff Profession Tax Payable"/>
        <s v="Staff Welfare Expenses"/>
        <s v="State Bank Of India C.C.,Sme Br."/>
        <s v="State Compensation on Cess"/>
        <s v="Stationery &amp; Printing Charges"/>
        <s v="Statutory Audit Fees (Darak &amp; Asso)"/>
        <s v="Stock Audit Bank Charges"/>
        <s v="Sumed Borkar"/>
        <s v="Summit Agencies"/>
        <s v="SUNDARAM FINANCE LTD : N006700059(CAR Loan)"/>
        <s v="SUNDARAM FINANCE LTD :N006700064 (ForkLift)"/>
        <s v="SUNDARAM FINANCE LTD :N036300010 (Tractor)"/>
        <s v="SUNDER NAMKEEN"/>
        <s v="Sundry Balance W/Off"/>
        <s v="Sunil Enterprises (SALE)"/>
        <s v="Sunil Nate"/>
        <s v="Suryakant Sadawarti"/>
        <s v="SWASTIK PAPER BOX"/>
        <s v="Tanisha Resins P. Ltd., Nagpur"/>
        <s v="TDS  (A. Y. 2019-20)"/>
        <s v="Tds  Payable On  Professional"/>
        <s v="TDS (A. Y. 2020-21)"/>
        <s v="T.C.S. (A.Y.2020-21)"/>
        <s v="TDS Excess Paid"/>
        <s v="TDS Excess Paid FY 15-16"/>
        <s v="Tds Payable  On Office Rent"/>
        <s v="TDS Payable Dealers Commission"/>
        <s v="TDS Payable on Commission"/>
        <s v="Tds Payable On Contractors"/>
        <s v="Tds Payable On Interest"/>
        <s v="Tds Payable On Salary"/>
        <s v="TDS Payable on Transporter"/>
        <s v="TDSPAYABLE ON REMUNERATION"/>
        <s v="Telephone Charges"/>
        <s v="Telephone Charges Payable"/>
        <s v="Testing &amp; Inspection Fees"/>
        <s v="Thakkar Agencies"/>
        <s v="Tilakraj Inderpal, Nagpur"/>
        <s v="Trade Discount"/>
        <s v="Travelling Expenses"/>
        <s v="Unipack"/>
        <s v="UNIPACK (SALE)"/>
        <s v="Urd Purchase  On Waste Paper"/>
        <s v="URD Purchase of Chemical"/>
        <s v="Urd Purchase On Packing Material"/>
        <s v="UTSAV PAPER PRODUCTS"/>
        <s v="Uttam Shetty &amp; Co"/>
        <s v="Vaibhav Enterprises"/>
        <s v="Varuna Industries, Nagpur"/>
        <s v="VAT (Earlier Tax Paid ) F.Y. 16-17"/>
        <s v="VAT (Earlier Tax Paid ) F.Y. 17-18"/>
        <s v="VAT Tax Expenses"/>
        <s v="VAT Assessment Order 2014-15"/>
        <s v="VAT Audit Fees : (Shah Baheti)"/>
        <s v="Vat for F. Y. 2015-16"/>
        <s v="VAT Payable ( F.Y. 16-17 )"/>
        <s v="VAT Payable (F.Y. 2017-18)"/>
        <s v="VAT Receivable  (F.Y. 14-15)"/>
        <s v="VEENA INDUSTRIES"/>
        <s v="Vehicle"/>
        <s v="Vehicle Diesel Expenses"/>
        <s v="Vehicle Repair &amp; Maintenance"/>
        <s v="Vertex Films Pvt. Ltd."/>
        <s v="Vidarbha Bearing &amp; Belting Co. P. Ltd."/>
        <s v="Vidhanis Tradelink Pvt. Ltd."/>
        <s v="Village Computer System, Nagpur"/>
        <s v="Visy Recycling"/>
        <s v="Voith Paper Fabrics India Ltd."/>
        <s v="Walkover Industries"/>
        <s v="Walter &amp; Associates, Mumbai"/>
        <s v="Waste Desposable Expenses"/>
        <s v="Waste Desposable Expenses(Plastic Dispose)"/>
        <s v="Waste Paper Feeding  Charges"/>
        <s v="Waste Paper Purchase"/>
        <s v="Western Coal Fields Ltd."/>
        <s v="W-I-P Building"/>
        <s v="W-I-P Plant &amp; Machinery"/>
        <s v="Worlds Window Wardha Infrastructure Pvt Ltd"/>
        <s v="Xerox Charges"/>
        <s v="Yadav Engineering"/>
        <s v="SUHANI ENTERPRISES"/>
        <s v="YASH COMMERCIALS"/>
        <s v="Yash Electric Co."/>
        <s v="Zibo Huacheng Imp And Exp. Co. Ltd."/>
      </sharedItems>
    </cacheField>
    <cacheField name="Note" numFmtId="0">
      <sharedItems containsString="0" containsBlank="1" containsNumber="1" containsInteger="1" minValue="2" maxValue="26" count="22">
        <n v="7"/>
        <n v="12"/>
        <n v="26"/>
        <n v="15"/>
        <n v="17"/>
        <n v="4"/>
        <n v="8"/>
        <n v="20"/>
        <n v="25"/>
        <n v="10"/>
        <n v="3"/>
        <n v="16"/>
        <n v="22"/>
        <n v="5"/>
        <n v="13"/>
        <n v="18"/>
        <n v="9"/>
        <n v="24"/>
        <n v="19"/>
        <n v="2"/>
        <m/>
        <n v="6"/>
      </sharedItems>
    </cacheField>
    <cacheField name="BS Main Head" numFmtId="0">
      <sharedItems count="23">
        <s v="Trade Payables"/>
        <s v="Long Term Loans &amp; Advances"/>
        <s v="Other Expenses"/>
        <s v="Trade Receivables"/>
        <s v="Short Term Loans &amp; Advances"/>
        <s v="Long Term Borrowings"/>
        <s v="Other Current Liabilities"/>
        <s v="Other Income"/>
        <s v="Finance Costs"/>
        <s v="Fixed Assets"/>
        <s v="Reserves &amp; Surplus"/>
        <s v="Cash And Bank Balances"/>
        <s v="Raw Material Consumed"/>
        <s v="Deferred Tax Liabilities "/>
        <s v="Other Non-Current Assets"/>
        <s v="Other Current Assets"/>
        <s v="Short Term Provision"/>
        <s v="Depreciation &amp; Amortisation"/>
        <s v="Employee Benefit Expenses"/>
        <s v="Revenue From Operations"/>
        <s v="Share Capital"/>
        <s v="opening stock"/>
        <s v="Short Term Borrowings"/>
      </sharedItems>
    </cacheField>
    <cacheField name="BS Sub Head" numFmtId="0">
      <sharedItems count="82">
        <s v="Trade Payables"/>
        <s v="Trade Payables - Others"/>
        <s v="Advance Income Tax"/>
        <s v="Selling &amp; Dist.-Advertisement Expenses"/>
        <s v="Other Debts"/>
        <s v="Advance to Suppliers"/>
        <s v="Loans and Advances to Employees"/>
        <s v="Unsecured-From Related Party"/>
        <s v="Establishment Expenses-General Expenses"/>
        <s v="Establishment Expenses-Listing Expense"/>
        <s v="Trade Payables for capital goods"/>
        <s v="Assessment Refund"/>
        <s v="Establishment Expenses-Auditors Remuneration"/>
        <s v="Bad Debts"/>
        <s v="Establishment Expenses-Bank Charges"/>
        <s v="Other Borrowing Costs"/>
        <s v="Trade Receivables"/>
        <s v="Manufacturing Expenses - Factory Expenses"/>
        <s v="Establishment Expenses-Office Expenses"/>
        <s v="Tangible Asset"/>
        <s v="Capital Reserve"/>
        <s v="Establishment Expenses-Rates &amp; Taxes"/>
        <s v="Manufacturing Expenses-Repairs &amp; Maintainence Machinery"/>
        <s v="Cash On Hand"/>
        <s v="Balance with Government Authorities"/>
        <s v="GST"/>
        <s v="Raw Material Purchase"/>
        <s v="Manufacturing Expenses - Power &amp; Fuel Consumed"/>
        <s v="Selling &amp; Dist.-Discount &amp; Commission"/>
        <s v="Establishment Expenses-Legal &amp; Professional Charges"/>
        <s v="Statutory Dues"/>
        <s v="Establishment Expenses-Travelling &amp; Conveyance"/>
        <s v="Deferred Tax Liability"/>
        <s v="Long Term Deposits"/>
        <s v="Balance with Bank in Deposit Accounts"/>
        <s v="Provision for Employee Benefit"/>
        <s v="Depreciation"/>
        <s v="Salary &amp; Wages"/>
        <s v="Sale of Goods - Manufacturing Sales"/>
        <s v="Dividend Payable"/>
        <s v="Donation"/>
        <s v="Issued, Subscribed &amp; Paid Up"/>
        <s v="Contribution to Funds"/>
        <s v="Manufacturin Expenses - FG Packing &amp; Allied Chgs"/>
        <s v="Foreign Exchange Fluctuation Gain on RM"/>
        <s v="General Reserve"/>
        <s v="Establishment Expenses-Rent"/>
        <s v="Selling &amp; Dist.-Insurance on Sales"/>
        <s v="Establishment Expenses-Insurance Charges"/>
        <s v="Insurance claim Receivable"/>
        <s v="Prepaid Expenses"/>
        <s v="Interest Received"/>
        <s v="Other Income"/>
        <s v="Interest Expenses"/>
        <s v="Other Current Liabilities"/>
        <s v="MAT Credit Entitlement"/>
        <s v="Staff Welfare Expenses"/>
        <s v="Other Debts - Export"/>
        <s v="opening stock"/>
        <s v="Manufacturing Expenses - Packing Material Consumed"/>
        <s v="Establishment Expenses-Rep. &amp; Maint. Others"/>
        <s v="Surplus"/>
        <s v="Profit on Sale of Asset"/>
        <s v="Tangible Asset - PFD"/>
        <s v="Manufacturing Expenses - Stores &amp; Spares Consumed"/>
        <s v="Manufacturin Expenses - RM Sorting Charges"/>
        <s v="Manufacturing Expenses-Repairs &amp; Maintainence Building"/>
        <s v="Balance With Bank - Other Bank Balance"/>
        <s v="Balance With Bank - Current A/c"/>
        <s v="Secured - From Banks - Term Loan"/>
        <s v="Employee Payables"/>
        <s v="Securities Premium"/>
        <s v="Manufacturing Expenses - Security Service Charges"/>
        <s v="Secured - From Banks - Working Capital Loan"/>
        <s v="Establishment Expenses-Printing &amp; Stationery"/>
        <s v="Secured - From Other - Term Loan"/>
        <s v="Establishment Expenses-Telephone Charges"/>
        <s v="Establishment Expenses-Rep. &amp; Maint. Vehicle"/>
        <s v="Manufacturing Expenses - Waste Paper Feeding Chgs"/>
        <s v="Capital WIP"/>
        <s v="Advance For Capital Goods"/>
        <s v="Interest Receivable" u="1"/>
      </sharedItems>
    </cacheField>
    <cacheField name="DR-2020" numFmtId="166">
      <sharedItems containsSemiMixedTypes="0" containsString="0" containsNumber="1" minValue="0" maxValue="237660256.5"/>
    </cacheField>
    <cacheField name="ADJ" numFmtId="166">
      <sharedItems containsSemiMixedTypes="0" containsString="0" containsNumber="1" minValue="-770.5" maxValue="20.5"/>
    </cacheField>
    <cacheField name="DR-March 20" numFmtId="166">
      <sharedItems containsSemiMixedTypes="0" containsString="0" containsNumber="1" minValue="0" maxValue="237660256.5"/>
    </cacheField>
    <cacheField name="CR-2020" numFmtId="166">
      <sharedItems containsSemiMixedTypes="0" containsString="0" containsNumber="1" minValue="0" maxValue="609002318.29999995"/>
    </cacheField>
    <cacheField name="Adj2" numFmtId="166">
      <sharedItems containsSemiMixedTypes="0" containsString="0" containsNumber="1" containsInteger="1" minValue="-750" maxValue="0"/>
    </cacheField>
    <cacheField name="CR-March 20" numFmtId="166">
      <sharedItems containsSemiMixedTypes="0" containsString="0" containsNumber="1" minValue="0" maxValue="609002318.29999995"/>
    </cacheField>
    <cacheField name="DR-2019" numFmtId="166">
      <sharedItems containsSemiMixedTypes="0" containsString="0" containsNumber="1" minValue="0" maxValue="274123635.5"/>
    </cacheField>
    <cacheField name="ADJ3" numFmtId="166">
      <sharedItems containsString="0" containsBlank="1" containsNumber="1" minValue="-1443909.5" maxValue="2690937.5"/>
    </cacheField>
    <cacheField name="DR-DEC 19" numFmtId="166">
      <sharedItems containsSemiMixedTypes="0" containsString="0" containsNumber="1" minValue="0" maxValue="274123635.5"/>
    </cacheField>
    <cacheField name="CR-2019" numFmtId="166">
      <sharedItems containsSemiMixedTypes="0" containsString="0" containsNumber="1" minValue="0" maxValue="681697693.20000005"/>
    </cacheField>
    <cacheField name="Adj4" numFmtId="166">
      <sharedItems containsString="0" containsBlank="1" containsNumber="1" containsInteger="1" minValue="0" maxValue="192300"/>
    </cacheField>
    <cacheField name="CR-DEC 19" numFmtId="166">
      <sharedItems containsString="0" containsBlank="1" containsNumber="1" minValue="0" maxValue="681697693.20000005"/>
    </cacheField>
    <cacheField name="Total" numFmtId="166">
      <sharedItems containsString="0" containsBlank="1" containsNumber="1" minValue="0" maxValue="258140002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37">
  <r>
    <x v="0"/>
    <x v="0"/>
    <x v="0"/>
    <x v="0"/>
    <n v="0"/>
    <n v="0"/>
    <n v="0"/>
    <n v="135000"/>
    <n v="0"/>
    <n v="135000"/>
    <n v="0"/>
    <n v="0"/>
    <n v="0"/>
    <n v="86400"/>
    <n v="0"/>
    <n v="86400"/>
    <n v="442800"/>
  </r>
  <r>
    <x v="1"/>
    <x v="0"/>
    <x v="0"/>
    <x v="1"/>
    <n v="0"/>
    <n v="0"/>
    <n v="0"/>
    <n v="892701"/>
    <n v="0"/>
    <n v="892701"/>
    <n v="0"/>
    <n v="0"/>
    <n v="0"/>
    <n v="0"/>
    <n v="0"/>
    <n v="0"/>
    <n v="1785402"/>
  </r>
  <r>
    <x v="2"/>
    <x v="1"/>
    <x v="1"/>
    <x v="2"/>
    <n v="0"/>
    <n v="0"/>
    <n v="0"/>
    <n v="0"/>
    <n v="0"/>
    <n v="0"/>
    <n v="12325000"/>
    <n v="0"/>
    <n v="12325000"/>
    <n v="0"/>
    <n v="0"/>
    <n v="0"/>
    <n v="24650000"/>
  </r>
  <r>
    <x v="3"/>
    <x v="1"/>
    <x v="1"/>
    <x v="2"/>
    <n v="3800000"/>
    <n v="0"/>
    <n v="3800000"/>
    <n v="0"/>
    <n v="0"/>
    <n v="0"/>
    <n v="0"/>
    <n v="0"/>
    <n v="0"/>
    <n v="0"/>
    <n v="0"/>
    <n v="0"/>
    <n v="7600000"/>
  </r>
  <r>
    <x v="4"/>
    <x v="2"/>
    <x v="2"/>
    <x v="3"/>
    <n v="113158"/>
    <n v="0"/>
    <n v="113158"/>
    <n v="0"/>
    <n v="0"/>
    <n v="0"/>
    <n v="77814"/>
    <n v="0"/>
    <n v="77814"/>
    <n v="0"/>
    <n v="0"/>
    <n v="0"/>
    <n v="381944"/>
  </r>
  <r>
    <x v="5"/>
    <x v="3"/>
    <x v="3"/>
    <x v="4"/>
    <n v="1426108"/>
    <n v="0"/>
    <n v="1426108"/>
    <n v="0"/>
    <n v="0"/>
    <n v="0"/>
    <n v="0"/>
    <n v="0"/>
    <n v="0"/>
    <n v="0"/>
    <n v="0"/>
    <n v="0"/>
    <n v="2852216"/>
  </r>
  <r>
    <x v="6"/>
    <x v="0"/>
    <x v="0"/>
    <x v="1"/>
    <n v="0"/>
    <n v="0"/>
    <n v="0"/>
    <n v="6800"/>
    <n v="0"/>
    <n v="6800"/>
    <n v="0"/>
    <n v="0"/>
    <n v="0"/>
    <n v="0"/>
    <n v="0"/>
    <n v="0"/>
    <n v="13600"/>
  </r>
  <r>
    <x v="7"/>
    <x v="3"/>
    <x v="3"/>
    <x v="4"/>
    <n v="1152502"/>
    <n v="0"/>
    <n v="1152502"/>
    <n v="0"/>
    <n v="0"/>
    <n v="0"/>
    <n v="2429585"/>
    <n v="0"/>
    <n v="2429585"/>
    <n v="0"/>
    <n v="0"/>
    <n v="0"/>
    <n v="7164174"/>
  </r>
  <r>
    <x v="8"/>
    <x v="3"/>
    <x v="3"/>
    <x v="4"/>
    <n v="3898375"/>
    <n v="0"/>
    <n v="3898375"/>
    <n v="0"/>
    <n v="0"/>
    <n v="0"/>
    <n v="2907317"/>
    <n v="0"/>
    <n v="2907317"/>
    <n v="0"/>
    <n v="0"/>
    <n v="0"/>
    <n v="13611384"/>
  </r>
  <r>
    <x v="9"/>
    <x v="4"/>
    <x v="4"/>
    <x v="5"/>
    <n v="0"/>
    <n v="0"/>
    <n v="0"/>
    <n v="0"/>
    <n v="0"/>
    <n v="0"/>
    <n v="278760"/>
    <n v="0"/>
    <n v="278760"/>
    <n v="0"/>
    <n v="0"/>
    <n v="0"/>
    <n v="557520"/>
  </r>
  <r>
    <x v="10"/>
    <x v="0"/>
    <x v="0"/>
    <x v="0"/>
    <n v="0"/>
    <n v="0"/>
    <n v="0"/>
    <n v="54318"/>
    <n v="0"/>
    <n v="54318"/>
    <n v="0"/>
    <n v="0"/>
    <n v="0"/>
    <n v="28955"/>
    <n v="0"/>
    <n v="28955"/>
    <n v="166546"/>
  </r>
  <r>
    <x v="11"/>
    <x v="1"/>
    <x v="1"/>
    <x v="6"/>
    <n v="4000"/>
    <n v="0"/>
    <n v="4000"/>
    <n v="0"/>
    <n v="0"/>
    <n v="0"/>
    <n v="0"/>
    <n v="0"/>
    <n v="0"/>
    <n v="0"/>
    <n v="0"/>
    <n v="0"/>
    <n v="8000"/>
  </r>
  <r>
    <x v="12"/>
    <x v="0"/>
    <x v="0"/>
    <x v="0"/>
    <n v="0"/>
    <n v="0"/>
    <n v="0"/>
    <n v="136776"/>
    <n v="0"/>
    <n v="136776"/>
    <n v="0"/>
    <n v="0"/>
    <n v="0"/>
    <n v="68388"/>
    <n v="0"/>
    <n v="68388"/>
    <n v="410328"/>
  </r>
  <r>
    <x v="13"/>
    <x v="0"/>
    <x v="0"/>
    <x v="1"/>
    <n v="0"/>
    <n v="0"/>
    <n v="0"/>
    <n v="222332"/>
    <n v="0"/>
    <n v="222332"/>
    <n v="0"/>
    <n v="0"/>
    <n v="0"/>
    <n v="0"/>
    <n v="0"/>
    <n v="0"/>
    <n v="444664"/>
  </r>
  <r>
    <x v="14"/>
    <x v="0"/>
    <x v="0"/>
    <x v="1"/>
    <n v="2384"/>
    <n v="0"/>
    <n v="2384"/>
    <n v="0"/>
    <n v="0"/>
    <n v="0"/>
    <n v="0"/>
    <n v="0"/>
    <n v="0"/>
    <n v="0"/>
    <n v="0"/>
    <n v="0"/>
    <n v="4768"/>
  </r>
  <r>
    <x v="15"/>
    <x v="0"/>
    <x v="0"/>
    <x v="1"/>
    <n v="0"/>
    <n v="0"/>
    <n v="0"/>
    <n v="16500"/>
    <n v="0"/>
    <n v="16500"/>
    <n v="0"/>
    <n v="0"/>
    <n v="0"/>
    <n v="0"/>
    <n v="0"/>
    <n v="0"/>
    <n v="33000"/>
  </r>
  <r>
    <x v="16"/>
    <x v="5"/>
    <x v="5"/>
    <x v="7"/>
    <n v="0"/>
    <n v="0"/>
    <n v="0"/>
    <n v="2186694"/>
    <n v="0"/>
    <n v="2186694"/>
    <n v="0"/>
    <n v="0"/>
    <n v="0"/>
    <n v="2000000"/>
    <n v="0"/>
    <n v="2000000"/>
    <n v="8373388"/>
  </r>
  <r>
    <x v="17"/>
    <x v="0"/>
    <x v="0"/>
    <x v="1"/>
    <n v="0"/>
    <n v="0"/>
    <n v="0"/>
    <n v="0"/>
    <n v="0"/>
    <n v="0"/>
    <n v="0"/>
    <n v="0"/>
    <n v="0"/>
    <n v="2291"/>
    <n v="0"/>
    <n v="2291"/>
    <n v="4582"/>
  </r>
  <r>
    <x v="18"/>
    <x v="5"/>
    <x v="5"/>
    <x v="7"/>
    <n v="0"/>
    <n v="0"/>
    <n v="0"/>
    <n v="874676"/>
    <n v="0"/>
    <n v="874676"/>
    <n v="0"/>
    <n v="0"/>
    <n v="0"/>
    <n v="800000"/>
    <n v="0"/>
    <n v="800000"/>
    <n v="3349352"/>
  </r>
  <r>
    <x v="19"/>
    <x v="0"/>
    <x v="0"/>
    <x v="0"/>
    <n v="0"/>
    <n v="0"/>
    <n v="0"/>
    <n v="30012"/>
    <n v="0"/>
    <n v="30012"/>
    <n v="0"/>
    <n v="0"/>
    <n v="0"/>
    <n v="0"/>
    <n v="0"/>
    <n v="0"/>
    <n v="60024"/>
  </r>
  <r>
    <x v="20"/>
    <x v="2"/>
    <x v="2"/>
    <x v="8"/>
    <n v="9000"/>
    <n v="0"/>
    <n v="9000"/>
    <n v="0"/>
    <n v="0"/>
    <n v="0"/>
    <n v="9000"/>
    <n v="0"/>
    <n v="9000"/>
    <n v="0"/>
    <n v="0"/>
    <n v="0"/>
    <n v="36000"/>
  </r>
  <r>
    <x v="21"/>
    <x v="2"/>
    <x v="2"/>
    <x v="9"/>
    <n v="64000"/>
    <n v="0"/>
    <n v="64000"/>
    <n v="0"/>
    <n v="0"/>
    <n v="0"/>
    <n v="64000"/>
    <n v="0"/>
    <n v="64000"/>
    <n v="0"/>
    <n v="0"/>
    <n v="0"/>
    <n v="256000"/>
  </r>
  <r>
    <x v="22"/>
    <x v="6"/>
    <x v="6"/>
    <x v="10"/>
    <n v="0"/>
    <n v="0"/>
    <n v="0"/>
    <n v="0"/>
    <n v="0"/>
    <n v="0"/>
    <n v="0"/>
    <n v="0"/>
    <n v="0"/>
    <n v="193064"/>
    <n v="0"/>
    <n v="193064"/>
    <n v="386128"/>
  </r>
  <r>
    <x v="23"/>
    <x v="3"/>
    <x v="3"/>
    <x v="4"/>
    <n v="0"/>
    <n v="0"/>
    <n v="0"/>
    <n v="0"/>
    <n v="0"/>
    <n v="0"/>
    <n v="283582"/>
    <n v="0"/>
    <n v="283582"/>
    <n v="0"/>
    <n v="0"/>
    <n v="0"/>
    <n v="567164"/>
  </r>
  <r>
    <x v="24"/>
    <x v="3"/>
    <x v="3"/>
    <x v="4"/>
    <n v="0"/>
    <n v="0"/>
    <n v="0"/>
    <n v="0"/>
    <n v="0"/>
    <n v="0"/>
    <n v="245459"/>
    <n v="0"/>
    <n v="245459"/>
    <n v="0"/>
    <n v="0"/>
    <n v="0"/>
    <n v="490918"/>
  </r>
  <r>
    <x v="25"/>
    <x v="0"/>
    <x v="0"/>
    <x v="0"/>
    <n v="0"/>
    <n v="0"/>
    <n v="0"/>
    <n v="0"/>
    <n v="0"/>
    <n v="0"/>
    <n v="0"/>
    <n v="0"/>
    <n v="0"/>
    <n v="48876.25"/>
    <n v="0"/>
    <n v="48876.25"/>
    <n v="97752.5"/>
  </r>
  <r>
    <x v="26"/>
    <x v="0"/>
    <x v="0"/>
    <x v="1"/>
    <n v="0"/>
    <n v="0"/>
    <n v="0"/>
    <n v="46846"/>
    <n v="0"/>
    <n v="46846"/>
    <n v="0"/>
    <n v="0"/>
    <n v="0"/>
    <n v="0"/>
    <n v="0"/>
    <n v="0"/>
    <n v="93692"/>
  </r>
  <r>
    <x v="27"/>
    <x v="7"/>
    <x v="7"/>
    <x v="11"/>
    <n v="0"/>
    <n v="0"/>
    <n v="0"/>
    <n v="6442"/>
    <n v="0"/>
    <n v="6442"/>
    <n v="0"/>
    <n v="0"/>
    <n v="0"/>
    <n v="0"/>
    <n v="0"/>
    <n v="0"/>
    <n v="12884"/>
  </r>
  <r>
    <x v="28"/>
    <x v="0"/>
    <x v="0"/>
    <x v="0"/>
    <n v="0"/>
    <n v="0"/>
    <n v="0"/>
    <n v="0"/>
    <n v="0"/>
    <n v="0"/>
    <n v="0"/>
    <n v="0"/>
    <n v="0"/>
    <n v="72000"/>
    <n v="0"/>
    <n v="72000"/>
    <n v="144000"/>
  </r>
  <r>
    <x v="29"/>
    <x v="2"/>
    <x v="2"/>
    <x v="12"/>
    <n v="3827"/>
    <n v="0"/>
    <n v="3827"/>
    <n v="0"/>
    <n v="0"/>
    <n v="0"/>
    <n v="14365"/>
    <n v="0"/>
    <n v="14365"/>
    <n v="0"/>
    <n v="0"/>
    <n v="0"/>
    <n v="36384"/>
  </r>
  <r>
    <x v="30"/>
    <x v="2"/>
    <x v="2"/>
    <x v="12"/>
    <n v="7719"/>
    <n v="0"/>
    <n v="7719"/>
    <n v="0"/>
    <n v="0"/>
    <n v="0"/>
    <n v="0"/>
    <n v="0"/>
    <n v="0"/>
    <n v="0"/>
    <n v="0"/>
    <n v="0"/>
    <n v="15438"/>
  </r>
  <r>
    <x v="31"/>
    <x v="2"/>
    <x v="2"/>
    <x v="12"/>
    <n v="0"/>
    <n v="0"/>
    <n v="0"/>
    <n v="0"/>
    <n v="0"/>
    <n v="0"/>
    <n v="1450"/>
    <n v="0"/>
    <n v="1450"/>
    <n v="0"/>
    <n v="0"/>
    <n v="0"/>
    <n v="2900"/>
  </r>
  <r>
    <x v="32"/>
    <x v="0"/>
    <x v="0"/>
    <x v="1"/>
    <n v="0"/>
    <n v="0"/>
    <n v="0"/>
    <n v="243500"/>
    <n v="0"/>
    <n v="243500"/>
    <n v="0"/>
    <n v="0"/>
    <n v="0"/>
    <n v="225000"/>
    <n v="0"/>
    <n v="225000"/>
    <n v="937000"/>
  </r>
  <r>
    <x v="33"/>
    <x v="2"/>
    <x v="2"/>
    <x v="13"/>
    <n v="2927"/>
    <n v="0"/>
    <n v="2927"/>
    <n v="0"/>
    <n v="0"/>
    <n v="0"/>
    <n v="320437.44"/>
    <n v="2690937.5"/>
    <n v="3011374.94"/>
    <n v="0"/>
    <n v="0"/>
    <n v="0"/>
    <n v="6028603.8799999999"/>
  </r>
  <r>
    <x v="34"/>
    <x v="0"/>
    <x v="0"/>
    <x v="0"/>
    <n v="0"/>
    <n v="0"/>
    <n v="0"/>
    <n v="72103"/>
    <n v="0"/>
    <n v="72103"/>
    <n v="0"/>
    <n v="0"/>
    <n v="0"/>
    <n v="56666"/>
    <n v="0"/>
    <n v="56666"/>
    <n v="257538"/>
  </r>
  <r>
    <x v="35"/>
    <x v="5"/>
    <x v="5"/>
    <x v="7"/>
    <n v="0"/>
    <n v="0"/>
    <n v="0"/>
    <n v="1093348"/>
    <n v="0"/>
    <n v="1093348"/>
    <n v="0"/>
    <n v="0"/>
    <n v="0"/>
    <n v="1000000"/>
    <n v="0"/>
    <n v="1000000"/>
    <n v="4186696"/>
  </r>
  <r>
    <x v="36"/>
    <x v="2"/>
    <x v="2"/>
    <x v="14"/>
    <n v="475603.13"/>
    <n v="20.5"/>
    <n v="475623.63"/>
    <n v="0"/>
    <n v="0"/>
    <n v="0"/>
    <n v="495794.41"/>
    <n v="0"/>
    <n v="495794.41"/>
    <n v="0"/>
    <n v="0"/>
    <n v="0"/>
    <n v="1942836.0799999998"/>
  </r>
  <r>
    <x v="37"/>
    <x v="2"/>
    <x v="2"/>
    <x v="14"/>
    <n v="132600"/>
    <n v="0"/>
    <n v="132600"/>
    <n v="0"/>
    <n v="0"/>
    <n v="0"/>
    <n v="50000"/>
    <n v="0"/>
    <n v="50000"/>
    <n v="0"/>
    <n v="0"/>
    <n v="0"/>
    <n v="365200"/>
  </r>
  <r>
    <x v="38"/>
    <x v="8"/>
    <x v="8"/>
    <x v="15"/>
    <n v="185908"/>
    <n v="0"/>
    <n v="185908"/>
    <n v="0"/>
    <n v="0"/>
    <n v="0"/>
    <n v="146401"/>
    <n v="0"/>
    <n v="146401"/>
    <n v="0"/>
    <n v="0"/>
    <n v="0"/>
    <n v="664618"/>
  </r>
  <r>
    <x v="39"/>
    <x v="8"/>
    <x v="8"/>
    <x v="15"/>
    <n v="140000"/>
    <n v="0"/>
    <n v="140000"/>
    <n v="0"/>
    <n v="0"/>
    <n v="0"/>
    <n v="293473.74"/>
    <n v="0"/>
    <n v="293473.74"/>
    <n v="0"/>
    <n v="0"/>
    <n v="0"/>
    <n v="866947.48"/>
  </r>
  <r>
    <x v="40"/>
    <x v="0"/>
    <x v="0"/>
    <x v="0"/>
    <n v="0"/>
    <n v="0"/>
    <n v="0"/>
    <n v="0"/>
    <n v="0"/>
    <n v="0"/>
    <n v="0"/>
    <n v="0"/>
    <n v="0"/>
    <n v="442500"/>
    <n v="0"/>
    <n v="442500"/>
    <n v="885000"/>
  </r>
  <r>
    <x v="41"/>
    <x v="0"/>
    <x v="0"/>
    <x v="0"/>
    <n v="0"/>
    <n v="0"/>
    <n v="0"/>
    <n v="53563"/>
    <n v="0"/>
    <n v="53563"/>
    <n v="0"/>
    <n v="0"/>
    <n v="0"/>
    <n v="18753"/>
    <n v="0"/>
    <n v="18753"/>
    <n v="144632"/>
  </r>
  <r>
    <x v="42"/>
    <x v="0"/>
    <x v="0"/>
    <x v="0"/>
    <n v="0"/>
    <n v="0"/>
    <n v="0"/>
    <n v="0"/>
    <n v="0"/>
    <n v="0"/>
    <n v="0"/>
    <n v="0"/>
    <n v="0"/>
    <n v="107380"/>
    <n v="0"/>
    <n v="107380"/>
    <n v="214760"/>
  </r>
  <r>
    <x v="43"/>
    <x v="3"/>
    <x v="3"/>
    <x v="16"/>
    <n v="0"/>
    <n v="0"/>
    <n v="0"/>
    <n v="0"/>
    <n v="0"/>
    <n v="0"/>
    <n v="2018054"/>
    <n v="0"/>
    <n v="2018054"/>
    <n v="0"/>
    <n v="0"/>
    <n v="0"/>
    <n v="4036108"/>
  </r>
  <r>
    <x v="44"/>
    <x v="1"/>
    <x v="1"/>
    <x v="6"/>
    <n v="2000"/>
    <n v="0"/>
    <n v="2000"/>
    <n v="0"/>
    <n v="0"/>
    <n v="0"/>
    <n v="0"/>
    <n v="0"/>
    <n v="0"/>
    <n v="0"/>
    <n v="0"/>
    <n v="0"/>
    <n v="4000"/>
  </r>
  <r>
    <x v="45"/>
    <x v="2"/>
    <x v="2"/>
    <x v="17"/>
    <n v="3586075"/>
    <n v="0"/>
    <n v="3586075"/>
    <n v="0"/>
    <n v="0"/>
    <n v="0"/>
    <n v="3427004"/>
    <n v="0"/>
    <n v="3427004"/>
    <n v="0"/>
    <n v="0"/>
    <n v="0"/>
    <n v="14026158"/>
  </r>
  <r>
    <x v="46"/>
    <x v="2"/>
    <x v="2"/>
    <x v="18"/>
    <n v="3442"/>
    <n v="0"/>
    <n v="3442"/>
    <n v="0"/>
    <n v="0"/>
    <n v="0"/>
    <n v="3166"/>
    <n v="0"/>
    <n v="3166"/>
    <n v="0"/>
    <n v="0"/>
    <n v="0"/>
    <n v="13216"/>
  </r>
  <r>
    <x v="47"/>
    <x v="9"/>
    <x v="9"/>
    <x v="19"/>
    <n v="56016203.549999997"/>
    <n v="0"/>
    <n v="56016203.549999997"/>
    <n v="0"/>
    <n v="0"/>
    <n v="0"/>
    <n v="55036932.399999999"/>
    <n v="0"/>
    <n v="55036932.399999999"/>
    <n v="0"/>
    <n v="0"/>
    <n v="0"/>
    <n v="222106271.90000001"/>
  </r>
  <r>
    <x v="48"/>
    <x v="10"/>
    <x v="10"/>
    <x v="20"/>
    <n v="0"/>
    <n v="0"/>
    <n v="0"/>
    <n v="20413989"/>
    <n v="0"/>
    <n v="20413989"/>
    <n v="0"/>
    <n v="0"/>
    <n v="0"/>
    <n v="20413989"/>
    <n v="0"/>
    <n v="20413989"/>
    <n v="81655956"/>
  </r>
  <r>
    <x v="49"/>
    <x v="2"/>
    <x v="2"/>
    <x v="21"/>
    <n v="6500"/>
    <n v="0"/>
    <n v="6500"/>
    <n v="0"/>
    <n v="0"/>
    <n v="0"/>
    <n v="0"/>
    <n v="0"/>
    <n v="0"/>
    <n v="0"/>
    <n v="0"/>
    <n v="0"/>
    <n v="13000"/>
  </r>
  <r>
    <x v="50"/>
    <x v="2"/>
    <x v="2"/>
    <x v="22"/>
    <n v="373855"/>
    <n v="0"/>
    <n v="373855"/>
    <n v="0"/>
    <n v="0"/>
    <n v="0"/>
    <n v="581423"/>
    <n v="0"/>
    <n v="581423"/>
    <n v="0"/>
    <n v="0"/>
    <n v="0"/>
    <n v="1910556"/>
  </r>
  <r>
    <x v="51"/>
    <x v="2"/>
    <x v="2"/>
    <x v="17"/>
    <n v="95134"/>
    <n v="0"/>
    <n v="95134"/>
    <n v="0"/>
    <n v="0"/>
    <n v="0"/>
    <n v="205186"/>
    <n v="0"/>
    <n v="205186"/>
    <n v="0"/>
    <n v="0"/>
    <n v="0"/>
    <n v="600640"/>
  </r>
  <r>
    <x v="52"/>
    <x v="2"/>
    <x v="2"/>
    <x v="17"/>
    <n v="64762"/>
    <n v="0"/>
    <n v="64762"/>
    <n v="0"/>
    <n v="0"/>
    <n v="0"/>
    <n v="93095"/>
    <n v="0"/>
    <n v="93095"/>
    <n v="0"/>
    <n v="0"/>
    <n v="0"/>
    <n v="315714"/>
  </r>
  <r>
    <x v="53"/>
    <x v="11"/>
    <x v="11"/>
    <x v="23"/>
    <n v="234166"/>
    <n v="0"/>
    <n v="234166"/>
    <n v="0"/>
    <n v="0"/>
    <n v="0"/>
    <n v="83523"/>
    <n v="0"/>
    <n v="83523"/>
    <n v="0"/>
    <n v="0"/>
    <n v="0"/>
    <n v="635378"/>
  </r>
  <r>
    <x v="54"/>
    <x v="1"/>
    <x v="1"/>
    <x v="24"/>
    <n v="0"/>
    <n v="0"/>
    <n v="0"/>
    <n v="0"/>
    <n v="0"/>
    <n v="0"/>
    <n v="0"/>
    <n v="0"/>
    <n v="0"/>
    <n v="0"/>
    <n v="0"/>
    <n v="0"/>
    <n v="0"/>
  </r>
  <r>
    <x v="55"/>
    <x v="1"/>
    <x v="1"/>
    <x v="24"/>
    <n v="0"/>
    <n v="0"/>
    <n v="0"/>
    <n v="0"/>
    <n v="0"/>
    <n v="0"/>
    <n v="0"/>
    <n v="0"/>
    <n v="0"/>
    <n v="0"/>
    <n v="0"/>
    <n v="0"/>
    <n v="0"/>
  </r>
  <r>
    <x v="56"/>
    <x v="1"/>
    <x v="1"/>
    <x v="24"/>
    <n v="0"/>
    <n v="0"/>
    <n v="0"/>
    <n v="0"/>
    <n v="0"/>
    <n v="0"/>
    <n v="0"/>
    <n v="0"/>
    <n v="0"/>
    <n v="0"/>
    <n v="0"/>
    <n v="0"/>
    <n v="0"/>
  </r>
  <r>
    <x v="57"/>
    <x v="1"/>
    <x v="1"/>
    <x v="25"/>
    <n v="0"/>
    <n v="0"/>
    <n v="0"/>
    <n v="0"/>
    <n v="0"/>
    <n v="0"/>
    <n v="0"/>
    <n v="0"/>
    <n v="0"/>
    <n v="510288.85"/>
    <n v="0"/>
    <n v="510288.85"/>
    <n v="1020577.7"/>
  </r>
  <r>
    <x v="58"/>
    <x v="1"/>
    <x v="1"/>
    <x v="25"/>
    <n v="0"/>
    <n v="0"/>
    <n v="0"/>
    <n v="0"/>
    <n v="0"/>
    <n v="0"/>
    <n v="0"/>
    <n v="0"/>
    <n v="0"/>
    <n v="254778.81"/>
    <n v="0"/>
    <n v="254778.81"/>
    <n v="509557.62"/>
  </r>
  <r>
    <x v="59"/>
    <x v="1"/>
    <x v="1"/>
    <x v="25"/>
    <n v="1108272.6399999999"/>
    <n v="0"/>
    <n v="1108272.6399999999"/>
    <n v="0"/>
    <n v="0"/>
    <n v="0"/>
    <n v="0"/>
    <n v="0"/>
    <n v="0"/>
    <n v="0"/>
    <n v="0"/>
    <n v="0"/>
    <n v="2216545.2799999998"/>
  </r>
  <r>
    <x v="60"/>
    <x v="0"/>
    <x v="0"/>
    <x v="1"/>
    <n v="0"/>
    <n v="0"/>
    <n v="0"/>
    <n v="0"/>
    <n v="0"/>
    <n v="0"/>
    <n v="0"/>
    <n v="0"/>
    <n v="0"/>
    <n v="35042"/>
    <n v="0"/>
    <n v="35042"/>
    <n v="70084"/>
  </r>
  <r>
    <x v="61"/>
    <x v="0"/>
    <x v="0"/>
    <x v="1"/>
    <n v="0"/>
    <n v="0"/>
    <n v="0"/>
    <n v="7300"/>
    <n v="0"/>
    <n v="7300"/>
    <n v="0"/>
    <n v="0"/>
    <n v="0"/>
    <n v="0"/>
    <n v="0"/>
    <n v="0"/>
    <n v="14600"/>
  </r>
  <r>
    <x v="62"/>
    <x v="3"/>
    <x v="3"/>
    <x v="4"/>
    <n v="2655823"/>
    <n v="0"/>
    <n v="2655823"/>
    <n v="0"/>
    <n v="0"/>
    <n v="0"/>
    <n v="1406"/>
    <n v="0"/>
    <n v="1406"/>
    <n v="0"/>
    <n v="0"/>
    <n v="0"/>
    <n v="5314458"/>
  </r>
  <r>
    <x v="63"/>
    <x v="0"/>
    <x v="0"/>
    <x v="0"/>
    <n v="0"/>
    <n v="0"/>
    <n v="0"/>
    <n v="173652"/>
    <n v="0"/>
    <n v="173652"/>
    <n v="0"/>
    <n v="0"/>
    <n v="0"/>
    <n v="309282"/>
    <n v="0"/>
    <n v="309282"/>
    <n v="965868"/>
  </r>
  <r>
    <x v="64"/>
    <x v="0"/>
    <x v="0"/>
    <x v="0"/>
    <n v="0"/>
    <n v="0"/>
    <n v="0"/>
    <n v="0"/>
    <n v="0"/>
    <n v="0"/>
    <n v="0"/>
    <n v="0"/>
    <n v="0"/>
    <n v="174048"/>
    <n v="0"/>
    <n v="174048"/>
    <n v="348096"/>
  </r>
  <r>
    <x v="65"/>
    <x v="3"/>
    <x v="3"/>
    <x v="4"/>
    <n v="4304700"/>
    <n v="0"/>
    <n v="4304700"/>
    <n v="0"/>
    <n v="0"/>
    <n v="0"/>
    <n v="12547062"/>
    <n v="0"/>
    <n v="12547062"/>
    <n v="0"/>
    <n v="0"/>
    <n v="0"/>
    <n v="33703524"/>
  </r>
  <r>
    <x v="66"/>
    <x v="1"/>
    <x v="1"/>
    <x v="6"/>
    <n v="7000"/>
    <n v="0"/>
    <n v="7000"/>
    <n v="0"/>
    <n v="0"/>
    <n v="0"/>
    <n v="0"/>
    <n v="0"/>
    <n v="0"/>
    <n v="0"/>
    <n v="0"/>
    <n v="0"/>
    <n v="14000"/>
  </r>
  <r>
    <x v="67"/>
    <x v="12"/>
    <x v="12"/>
    <x v="26"/>
    <n v="41533028.75"/>
    <n v="0"/>
    <n v="41533028.75"/>
    <n v="0"/>
    <n v="0"/>
    <n v="0"/>
    <n v="46318754.25"/>
    <n v="0"/>
    <n v="46318754.25"/>
    <n v="0"/>
    <n v="0"/>
    <n v="0"/>
    <n v="175703566"/>
  </r>
  <r>
    <x v="68"/>
    <x v="3"/>
    <x v="3"/>
    <x v="4"/>
    <n v="886060"/>
    <n v="0"/>
    <n v="886060"/>
    <n v="0"/>
    <n v="0"/>
    <n v="0"/>
    <n v="106645"/>
    <n v="0"/>
    <n v="106645"/>
    <n v="0"/>
    <n v="0"/>
    <n v="0"/>
    <n v="1985410"/>
  </r>
  <r>
    <x v="69"/>
    <x v="0"/>
    <x v="0"/>
    <x v="0"/>
    <n v="0"/>
    <n v="0"/>
    <n v="0"/>
    <n v="0"/>
    <n v="0"/>
    <n v="0"/>
    <n v="0"/>
    <n v="0"/>
    <n v="0"/>
    <n v="2404941"/>
    <n v="0"/>
    <n v="2404941"/>
    <n v="4809882"/>
  </r>
  <r>
    <x v="70"/>
    <x v="12"/>
    <x v="12"/>
    <x v="26"/>
    <n v="48514808.600000001"/>
    <n v="0"/>
    <n v="48514808.600000001"/>
    <n v="0"/>
    <n v="0"/>
    <n v="0"/>
    <n v="36176357.159999996"/>
    <n v="0"/>
    <n v="36176357.159999996"/>
    <n v="0"/>
    <n v="0"/>
    <n v="0"/>
    <n v="169382331.51999998"/>
  </r>
  <r>
    <x v="71"/>
    <x v="2"/>
    <x v="2"/>
    <x v="22"/>
    <n v="219361"/>
    <n v="0"/>
    <n v="219361"/>
    <n v="0"/>
    <n v="0"/>
    <n v="0"/>
    <n v="281138"/>
    <n v="0"/>
    <n v="281138"/>
    <n v="0"/>
    <n v="0"/>
    <n v="0"/>
    <n v="1000998"/>
  </r>
  <r>
    <x v="72"/>
    <x v="2"/>
    <x v="2"/>
    <x v="27"/>
    <n v="923225"/>
    <n v="0"/>
    <n v="923225"/>
    <n v="0"/>
    <n v="0"/>
    <n v="0"/>
    <n v="539575"/>
    <n v="0"/>
    <n v="539575"/>
    <n v="0"/>
    <n v="0"/>
    <n v="0"/>
    <n v="2925600"/>
  </r>
  <r>
    <x v="73"/>
    <x v="2"/>
    <x v="2"/>
    <x v="27"/>
    <n v="44460025.039999999"/>
    <n v="0"/>
    <n v="44460025.039999999"/>
    <n v="0"/>
    <n v="0"/>
    <n v="0"/>
    <n v="46577347"/>
    <n v="0"/>
    <n v="46577347"/>
    <n v="0"/>
    <n v="0"/>
    <n v="0"/>
    <n v="182074744.07999998"/>
  </r>
  <r>
    <x v="74"/>
    <x v="2"/>
    <x v="2"/>
    <x v="28"/>
    <n v="1723504"/>
    <n v="0"/>
    <n v="1723504"/>
    <n v="0"/>
    <n v="0"/>
    <n v="0"/>
    <n v="3396669"/>
    <n v="0"/>
    <n v="3396669"/>
    <n v="0"/>
    <n v="0"/>
    <n v="0"/>
    <n v="10240346"/>
  </r>
  <r>
    <x v="75"/>
    <x v="2"/>
    <x v="2"/>
    <x v="28"/>
    <n v="38030"/>
    <n v="0"/>
    <n v="38030"/>
    <n v="0"/>
    <n v="0"/>
    <n v="0"/>
    <n v="0"/>
    <n v="0"/>
    <n v="0"/>
    <n v="0"/>
    <n v="0"/>
    <n v="0"/>
    <n v="76060"/>
  </r>
  <r>
    <x v="76"/>
    <x v="9"/>
    <x v="9"/>
    <x v="19"/>
    <n v="1057200.7"/>
    <n v="0"/>
    <n v="1057200.7"/>
    <n v="0"/>
    <n v="0"/>
    <n v="0"/>
    <n v="1057200.7"/>
    <n v="0"/>
    <n v="1057200.7"/>
    <n v="0"/>
    <n v="0"/>
    <n v="0"/>
    <n v="4228802.8"/>
  </r>
  <r>
    <x v="77"/>
    <x v="2"/>
    <x v="2"/>
    <x v="29"/>
    <n v="7000"/>
    <n v="0"/>
    <n v="7000"/>
    <n v="0"/>
    <n v="0"/>
    <n v="0"/>
    <n v="71000"/>
    <n v="0"/>
    <n v="71000"/>
    <n v="0"/>
    <n v="0"/>
    <n v="0"/>
    <n v="156000"/>
  </r>
  <r>
    <x v="78"/>
    <x v="4"/>
    <x v="4"/>
    <x v="5"/>
    <n v="42915.89"/>
    <n v="0"/>
    <n v="42915.89"/>
    <n v="0"/>
    <n v="0"/>
    <n v="0"/>
    <n v="42915.89"/>
    <n v="0"/>
    <n v="42915.89"/>
    <n v="0"/>
    <n v="0"/>
    <n v="0"/>
    <n v="171663.56"/>
  </r>
  <r>
    <x v="79"/>
    <x v="6"/>
    <x v="6"/>
    <x v="30"/>
    <n v="0"/>
    <n v="0"/>
    <n v="0"/>
    <n v="21838"/>
    <n v="0"/>
    <n v="21838"/>
    <n v="0"/>
    <n v="0"/>
    <n v="0"/>
    <n v="34626"/>
    <n v="0"/>
    <n v="34626"/>
    <n v="112928"/>
  </r>
  <r>
    <x v="80"/>
    <x v="6"/>
    <x v="6"/>
    <x v="30"/>
    <n v="0"/>
    <n v="0"/>
    <n v="0"/>
    <n v="184366"/>
    <n v="0"/>
    <n v="184366"/>
    <n v="0"/>
    <n v="0"/>
    <n v="0"/>
    <n v="186660"/>
    <n v="0"/>
    <n v="186660"/>
    <n v="742052"/>
  </r>
  <r>
    <x v="81"/>
    <x v="2"/>
    <x v="2"/>
    <x v="31"/>
    <n v="28640"/>
    <n v="0"/>
    <n v="28640"/>
    <n v="0"/>
    <n v="0"/>
    <n v="0"/>
    <n v="52350"/>
    <n v="0"/>
    <n v="52350"/>
    <n v="0"/>
    <n v="0"/>
    <n v="0"/>
    <n v="161980"/>
  </r>
  <r>
    <x v="82"/>
    <x v="2"/>
    <x v="2"/>
    <x v="31"/>
    <n v="45845"/>
    <n v="0"/>
    <n v="45845"/>
    <n v="0"/>
    <n v="0"/>
    <n v="0"/>
    <n v="66840"/>
    <n v="0"/>
    <n v="66840"/>
    <n v="0"/>
    <n v="0"/>
    <n v="0"/>
    <n v="225370"/>
  </r>
  <r>
    <x v="83"/>
    <x v="3"/>
    <x v="3"/>
    <x v="4"/>
    <n v="2786944"/>
    <n v="0"/>
    <n v="2786944"/>
    <n v="0"/>
    <n v="0"/>
    <n v="0"/>
    <n v="0"/>
    <n v="0"/>
    <n v="0"/>
    <n v="0"/>
    <n v="0"/>
    <n v="0"/>
    <n v="5573888"/>
  </r>
  <r>
    <x v="84"/>
    <x v="2"/>
    <x v="2"/>
    <x v="8"/>
    <n v="60454"/>
    <n v="0"/>
    <n v="60454"/>
    <n v="0"/>
    <n v="0"/>
    <n v="0"/>
    <n v="78396.600000000006"/>
    <n v="0"/>
    <n v="78396.600000000006"/>
    <n v="0"/>
    <n v="0"/>
    <n v="0"/>
    <n v="277701.2"/>
  </r>
  <r>
    <x v="85"/>
    <x v="1"/>
    <x v="1"/>
    <x v="25"/>
    <n v="0"/>
    <n v="0"/>
    <n v="0"/>
    <n v="0"/>
    <n v="0"/>
    <n v="0"/>
    <n v="91098"/>
    <n v="0"/>
    <n v="91098"/>
    <n v="0"/>
    <n v="0"/>
    <n v="0"/>
    <n v="182196"/>
  </r>
  <r>
    <x v="86"/>
    <x v="2"/>
    <x v="2"/>
    <x v="21"/>
    <n v="380250"/>
    <n v="0"/>
    <n v="380250"/>
    <n v="0"/>
    <n v="0"/>
    <n v="0"/>
    <n v="0"/>
    <n v="0"/>
    <n v="0"/>
    <n v="0"/>
    <n v="0"/>
    <n v="0"/>
    <n v="760500"/>
  </r>
  <r>
    <x v="87"/>
    <x v="1"/>
    <x v="1"/>
    <x v="24"/>
    <n v="0"/>
    <n v="0"/>
    <n v="0"/>
    <n v="0"/>
    <n v="0"/>
    <n v="0"/>
    <n v="2500"/>
    <n v="0"/>
    <n v="2500"/>
    <n v="0"/>
    <n v="0"/>
    <n v="0"/>
    <n v="5000"/>
  </r>
  <r>
    <x v="88"/>
    <x v="2"/>
    <x v="2"/>
    <x v="21"/>
    <n v="2500"/>
    <n v="0"/>
    <n v="2500"/>
    <n v="0"/>
    <n v="0"/>
    <n v="0"/>
    <n v="0"/>
    <n v="0"/>
    <n v="0"/>
    <n v="0"/>
    <n v="0"/>
    <n v="0"/>
    <n v="5000"/>
  </r>
  <r>
    <x v="89"/>
    <x v="4"/>
    <x v="4"/>
    <x v="5"/>
    <n v="0"/>
    <n v="0"/>
    <n v="0"/>
    <n v="0"/>
    <n v="0"/>
    <n v="0"/>
    <n v="1240241"/>
    <n v="0"/>
    <n v="1240241"/>
    <n v="0"/>
    <n v="0"/>
    <n v="0"/>
    <n v="2480482"/>
  </r>
  <r>
    <x v="90"/>
    <x v="0"/>
    <x v="0"/>
    <x v="0"/>
    <n v="0"/>
    <n v="0"/>
    <n v="0"/>
    <n v="2430503"/>
    <n v="0"/>
    <n v="2430503"/>
    <n v="0"/>
    <n v="0"/>
    <n v="0"/>
    <n v="0"/>
    <n v="0"/>
    <n v="0"/>
    <n v="4861006"/>
  </r>
  <r>
    <x v="91"/>
    <x v="3"/>
    <x v="3"/>
    <x v="4"/>
    <n v="0"/>
    <n v="0"/>
    <n v="0"/>
    <n v="0"/>
    <n v="0"/>
    <n v="0"/>
    <n v="1730730"/>
    <n v="0"/>
    <n v="1730730"/>
    <n v="0"/>
    <n v="0"/>
    <n v="0"/>
    <n v="3461460"/>
  </r>
  <r>
    <x v="92"/>
    <x v="13"/>
    <x v="13"/>
    <x v="32"/>
    <n v="0"/>
    <n v="0"/>
    <n v="0"/>
    <n v="20113961"/>
    <n v="0"/>
    <n v="20113961"/>
    <n v="0"/>
    <n v="0"/>
    <n v="0"/>
    <n v="24184943"/>
    <n v="0"/>
    <n v="24184943"/>
    <n v="88597808"/>
  </r>
  <r>
    <x v="93"/>
    <x v="1"/>
    <x v="1"/>
    <x v="33"/>
    <n v="1137100"/>
    <n v="0"/>
    <n v="1137100"/>
    <n v="0"/>
    <n v="0"/>
    <n v="0"/>
    <n v="1137100"/>
    <n v="0"/>
    <n v="1137100"/>
    <n v="0"/>
    <n v="0"/>
    <n v="0"/>
    <n v="4548400"/>
  </r>
  <r>
    <x v="94"/>
    <x v="1"/>
    <x v="1"/>
    <x v="33"/>
    <n v="6800"/>
    <n v="0"/>
    <n v="6800"/>
    <n v="0"/>
    <n v="0"/>
    <n v="0"/>
    <n v="6800"/>
    <n v="0"/>
    <n v="6800"/>
    <n v="0"/>
    <n v="0"/>
    <n v="0"/>
    <n v="27200"/>
  </r>
  <r>
    <x v="95"/>
    <x v="14"/>
    <x v="14"/>
    <x v="34"/>
    <n v="0"/>
    <n v="0"/>
    <n v="0"/>
    <n v="0"/>
    <n v="0"/>
    <n v="0"/>
    <n v="414273"/>
    <n v="0"/>
    <n v="414273"/>
    <n v="0"/>
    <n v="0"/>
    <n v="0"/>
    <n v="828546"/>
  </r>
  <r>
    <x v="96"/>
    <x v="15"/>
    <x v="15"/>
    <x v="5"/>
    <n v="470000"/>
    <n v="0"/>
    <n v="470000"/>
    <n v="0"/>
    <n v="0"/>
    <n v="0"/>
    <n v="50000"/>
    <n v="0"/>
    <n v="50000"/>
    <n v="0"/>
    <n v="0"/>
    <n v="0"/>
    <n v="1040000"/>
  </r>
  <r>
    <x v="97"/>
    <x v="1"/>
    <x v="1"/>
    <x v="33"/>
    <n v="248200"/>
    <n v="0"/>
    <n v="248200"/>
    <n v="0"/>
    <n v="0"/>
    <n v="0"/>
    <n v="0"/>
    <n v="0"/>
    <n v="0"/>
    <n v="0"/>
    <n v="0"/>
    <n v="0"/>
    <n v="496400"/>
  </r>
  <r>
    <x v="98"/>
    <x v="14"/>
    <x v="14"/>
    <x v="34"/>
    <n v="125000"/>
    <n v="0"/>
    <n v="125000"/>
    <n v="0"/>
    <n v="0"/>
    <n v="0"/>
    <n v="125000"/>
    <n v="0"/>
    <n v="125000"/>
    <n v="0"/>
    <n v="0"/>
    <n v="0"/>
    <n v="500000"/>
  </r>
  <r>
    <x v="99"/>
    <x v="1"/>
    <x v="1"/>
    <x v="33"/>
    <n v="200000"/>
    <n v="0"/>
    <n v="200000"/>
    <n v="0"/>
    <n v="0"/>
    <n v="0"/>
    <n v="200000"/>
    <n v="0"/>
    <n v="200000"/>
    <n v="0"/>
    <n v="0"/>
    <n v="0"/>
    <n v="800000"/>
  </r>
  <r>
    <x v="100"/>
    <x v="1"/>
    <x v="1"/>
    <x v="33"/>
    <n v="9500"/>
    <n v="0"/>
    <n v="9500"/>
    <n v="0"/>
    <n v="0"/>
    <n v="0"/>
    <n v="9500"/>
    <n v="0"/>
    <n v="9500"/>
    <n v="0"/>
    <n v="0"/>
    <n v="0"/>
    <n v="38000"/>
  </r>
  <r>
    <x v="101"/>
    <x v="16"/>
    <x v="16"/>
    <x v="35"/>
    <n v="4494616"/>
    <n v="0"/>
    <n v="4494616"/>
    <n v="0"/>
    <n v="0"/>
    <n v="0"/>
    <n v="4161624.7"/>
    <n v="0"/>
    <n v="4161624.7"/>
    <n v="0"/>
    <n v="0"/>
    <n v="0"/>
    <n v="17312481.399999999"/>
  </r>
  <r>
    <x v="102"/>
    <x v="14"/>
    <x v="14"/>
    <x v="34"/>
    <n v="0"/>
    <n v="0"/>
    <n v="0"/>
    <n v="0"/>
    <n v="0"/>
    <n v="0"/>
    <n v="375000"/>
    <n v="0"/>
    <n v="375000"/>
    <n v="0"/>
    <n v="0"/>
    <n v="0"/>
    <n v="750000"/>
  </r>
  <r>
    <x v="103"/>
    <x v="9"/>
    <x v="17"/>
    <x v="36"/>
    <n v="1885458"/>
    <n v="0"/>
    <n v="1885458"/>
    <n v="0"/>
    <n v="0"/>
    <n v="0"/>
    <n v="1830288"/>
    <n v="0"/>
    <n v="1830288"/>
    <n v="0"/>
    <n v="0"/>
    <n v="0"/>
    <n v="7431492"/>
  </r>
  <r>
    <x v="104"/>
    <x v="9"/>
    <x v="17"/>
    <x v="36"/>
    <n v="1743151"/>
    <n v="0"/>
    <n v="1743151"/>
    <n v="0"/>
    <n v="0"/>
    <n v="0"/>
    <n v="1578365"/>
    <n v="0"/>
    <n v="1578365"/>
    <n v="0"/>
    <n v="0"/>
    <n v="0"/>
    <n v="6643032"/>
  </r>
  <r>
    <x v="105"/>
    <x v="9"/>
    <x v="17"/>
    <x v="36"/>
    <n v="92736"/>
    <n v="0"/>
    <n v="92736"/>
    <n v="0"/>
    <n v="0"/>
    <n v="0"/>
    <n v="59810"/>
    <n v="0"/>
    <n v="59810"/>
    <n v="0"/>
    <n v="0"/>
    <n v="0"/>
    <n v="305092"/>
  </r>
  <r>
    <x v="106"/>
    <x v="9"/>
    <x v="17"/>
    <x v="36"/>
    <n v="57979"/>
    <n v="0"/>
    <n v="57979"/>
    <n v="0"/>
    <n v="0"/>
    <n v="0"/>
    <n v="115548"/>
    <n v="0"/>
    <n v="115548"/>
    <n v="0"/>
    <n v="0"/>
    <n v="0"/>
    <n v="347054"/>
  </r>
  <r>
    <x v="107"/>
    <x v="9"/>
    <x v="17"/>
    <x v="36"/>
    <n v="24077"/>
    <n v="0"/>
    <n v="24077"/>
    <n v="0"/>
    <n v="0"/>
    <n v="0"/>
    <n v="23569"/>
    <n v="0"/>
    <n v="23569"/>
    <n v="0"/>
    <n v="0"/>
    <n v="0"/>
    <n v="95292"/>
  </r>
  <r>
    <x v="108"/>
    <x v="9"/>
    <x v="17"/>
    <x v="36"/>
    <n v="13101740"/>
    <n v="0"/>
    <n v="13101740"/>
    <n v="0"/>
    <n v="0"/>
    <n v="0"/>
    <n v="12624072"/>
    <n v="0"/>
    <n v="12624072"/>
    <n v="0"/>
    <n v="0"/>
    <n v="0"/>
    <n v="51451624"/>
  </r>
  <r>
    <x v="109"/>
    <x v="9"/>
    <x v="17"/>
    <x v="36"/>
    <n v="287798"/>
    <n v="0"/>
    <n v="287798"/>
    <n v="0"/>
    <n v="0"/>
    <n v="0"/>
    <n v="235948"/>
    <n v="0"/>
    <n v="235948"/>
    <n v="0"/>
    <n v="0"/>
    <n v="0"/>
    <n v="1047492"/>
  </r>
  <r>
    <x v="110"/>
    <x v="3"/>
    <x v="3"/>
    <x v="4"/>
    <n v="0"/>
    <n v="0"/>
    <n v="0"/>
    <n v="10037"/>
    <n v="0"/>
    <n v="10037"/>
    <n v="0"/>
    <n v="0"/>
    <n v="0"/>
    <n v="0"/>
    <n v="0"/>
    <n v="0"/>
    <n v="20074"/>
  </r>
  <r>
    <x v="111"/>
    <x v="1"/>
    <x v="1"/>
    <x v="6"/>
    <n v="0"/>
    <n v="0"/>
    <n v="0"/>
    <n v="0"/>
    <n v="0"/>
    <n v="0"/>
    <n v="7000"/>
    <n v="0"/>
    <n v="7000"/>
    <n v="0"/>
    <n v="0"/>
    <n v="0"/>
    <n v="14000"/>
  </r>
  <r>
    <x v="112"/>
    <x v="0"/>
    <x v="0"/>
    <x v="0"/>
    <n v="0"/>
    <n v="0"/>
    <n v="0"/>
    <n v="29160"/>
    <n v="0"/>
    <n v="29160"/>
    <n v="0"/>
    <n v="0"/>
    <n v="0"/>
    <n v="0"/>
    <n v="0"/>
    <n v="0"/>
    <n v="58320"/>
  </r>
  <r>
    <x v="113"/>
    <x v="1"/>
    <x v="1"/>
    <x v="6"/>
    <n v="0"/>
    <n v="0"/>
    <n v="0"/>
    <n v="0"/>
    <n v="0"/>
    <n v="0"/>
    <n v="5000"/>
    <n v="0"/>
    <n v="5000"/>
    <n v="0"/>
    <n v="0"/>
    <n v="0"/>
    <n v="10000"/>
  </r>
  <r>
    <x v="114"/>
    <x v="17"/>
    <x v="18"/>
    <x v="37"/>
    <n v="15000"/>
    <n v="0"/>
    <n v="15000"/>
    <n v="0"/>
    <n v="0"/>
    <n v="0"/>
    <n v="0"/>
    <n v="0"/>
    <n v="0"/>
    <n v="0"/>
    <n v="0"/>
    <n v="0"/>
    <n v="30000"/>
  </r>
  <r>
    <x v="115"/>
    <x v="18"/>
    <x v="19"/>
    <x v="38"/>
    <n v="30585779"/>
    <n v="0"/>
    <n v="30585779"/>
    <n v="0"/>
    <n v="0"/>
    <n v="0"/>
    <n v="28782260"/>
    <n v="0"/>
    <n v="28782260"/>
    <n v="0"/>
    <n v="0"/>
    <n v="0"/>
    <n v="118736078"/>
  </r>
  <r>
    <x v="116"/>
    <x v="0"/>
    <x v="0"/>
    <x v="1"/>
    <n v="0"/>
    <n v="0"/>
    <n v="0"/>
    <n v="49644.76"/>
    <n v="0"/>
    <n v="49644.76"/>
    <n v="188929.24"/>
    <n v="0"/>
    <n v="188929.24"/>
    <n v="0"/>
    <n v="0"/>
    <n v="0"/>
    <n v="477148"/>
  </r>
  <r>
    <x v="117"/>
    <x v="6"/>
    <x v="6"/>
    <x v="39"/>
    <n v="0"/>
    <n v="0"/>
    <n v="0"/>
    <n v="0"/>
    <n v="0"/>
    <n v="0"/>
    <n v="0"/>
    <n v="0"/>
    <n v="0"/>
    <n v="0"/>
    <n v="192300"/>
    <n v="192300"/>
    <n v="384600"/>
  </r>
  <r>
    <x v="118"/>
    <x v="6"/>
    <x v="6"/>
    <x v="39"/>
    <n v="0"/>
    <n v="0"/>
    <n v="0"/>
    <n v="85050"/>
    <n v="-750"/>
    <n v="84300"/>
    <n v="0"/>
    <n v="0"/>
    <n v="0"/>
    <n v="0"/>
    <n v="0"/>
    <n v="0"/>
    <n v="168600"/>
  </r>
  <r>
    <x v="119"/>
    <x v="2"/>
    <x v="2"/>
    <x v="40"/>
    <n v="13002"/>
    <n v="0"/>
    <n v="13002"/>
    <n v="0"/>
    <n v="0"/>
    <n v="0"/>
    <n v="0"/>
    <n v="0"/>
    <n v="0"/>
    <n v="0"/>
    <n v="0"/>
    <n v="0"/>
    <n v="26004"/>
  </r>
  <r>
    <x v="120"/>
    <x v="4"/>
    <x v="4"/>
    <x v="5"/>
    <n v="18000"/>
    <n v="0"/>
    <n v="18000"/>
    <n v="0"/>
    <n v="0"/>
    <n v="0"/>
    <n v="0"/>
    <n v="0"/>
    <n v="0"/>
    <n v="0"/>
    <n v="0"/>
    <n v="0"/>
    <n v="36000"/>
  </r>
  <r>
    <x v="121"/>
    <x v="0"/>
    <x v="0"/>
    <x v="0"/>
    <n v="0"/>
    <n v="0"/>
    <n v="0"/>
    <n v="56640"/>
    <n v="0"/>
    <n v="56640"/>
    <n v="0"/>
    <n v="0"/>
    <n v="0"/>
    <n v="55518"/>
    <n v="0"/>
    <n v="55518"/>
    <n v="224316"/>
  </r>
  <r>
    <x v="122"/>
    <x v="0"/>
    <x v="0"/>
    <x v="0"/>
    <n v="0"/>
    <n v="0"/>
    <n v="0"/>
    <n v="5099431"/>
    <n v="0"/>
    <n v="5099431"/>
    <n v="0"/>
    <n v="0"/>
    <n v="0"/>
    <n v="1590213.7"/>
    <n v="0"/>
    <n v="1590213.7"/>
    <n v="13379289.399999999"/>
  </r>
  <r>
    <x v="123"/>
    <x v="3"/>
    <x v="3"/>
    <x v="4"/>
    <n v="0"/>
    <n v="0"/>
    <n v="0"/>
    <n v="0"/>
    <n v="0"/>
    <n v="0"/>
    <n v="447794"/>
    <n v="0"/>
    <n v="447794"/>
    <n v="0"/>
    <n v="0"/>
    <n v="0"/>
    <n v="895588"/>
  </r>
  <r>
    <x v="124"/>
    <x v="9"/>
    <x v="9"/>
    <x v="19"/>
    <n v="28473033.399999999"/>
    <n v="0"/>
    <n v="28473033.399999999"/>
    <n v="0"/>
    <n v="0"/>
    <n v="0"/>
    <n v="26949655"/>
    <n v="0"/>
    <n v="26949655"/>
    <n v="0"/>
    <n v="0"/>
    <n v="0"/>
    <n v="110845376.8"/>
  </r>
  <r>
    <x v="125"/>
    <x v="19"/>
    <x v="20"/>
    <x v="41"/>
    <n v="0"/>
    <n v="0"/>
    <n v="0"/>
    <n v="26922650"/>
    <n v="0"/>
    <n v="26922650"/>
    <n v="0"/>
    <n v="0"/>
    <n v="0"/>
    <n v="26922650"/>
    <n v="0"/>
    <n v="26922650"/>
    <n v="107690600"/>
  </r>
  <r>
    <x v="126"/>
    <x v="17"/>
    <x v="18"/>
    <x v="42"/>
    <n v="236394"/>
    <n v="0"/>
    <n v="236394"/>
    <n v="0"/>
    <n v="0"/>
    <n v="0"/>
    <n v="267216"/>
    <n v="0"/>
    <n v="267216"/>
    <n v="0"/>
    <n v="0"/>
    <n v="0"/>
    <n v="1007220"/>
  </r>
  <r>
    <x v="127"/>
    <x v="2"/>
    <x v="2"/>
    <x v="21"/>
    <n v="0"/>
    <n v="0"/>
    <n v="0"/>
    <n v="0"/>
    <n v="0"/>
    <n v="0"/>
    <n v="7729"/>
    <n v="0"/>
    <n v="7729"/>
    <n v="0"/>
    <n v="0"/>
    <n v="0"/>
    <n v="15458"/>
  </r>
  <r>
    <x v="128"/>
    <x v="2"/>
    <x v="2"/>
    <x v="21"/>
    <n v="57414"/>
    <n v="0"/>
    <n v="57414"/>
    <n v="0"/>
    <n v="0"/>
    <n v="0"/>
    <n v="10000"/>
    <n v="0"/>
    <n v="10000"/>
    <n v="0"/>
    <n v="0"/>
    <n v="0"/>
    <n v="134828"/>
  </r>
  <r>
    <x v="129"/>
    <x v="17"/>
    <x v="18"/>
    <x v="37"/>
    <n v="0"/>
    <n v="0"/>
    <n v="0"/>
    <n v="0"/>
    <n v="0"/>
    <n v="0"/>
    <n v="300000"/>
    <n v="0"/>
    <n v="300000"/>
    <n v="0"/>
    <n v="0"/>
    <n v="0"/>
    <n v="600000"/>
  </r>
  <r>
    <x v="130"/>
    <x v="2"/>
    <x v="2"/>
    <x v="21"/>
    <n v="0"/>
    <n v="0"/>
    <n v="0"/>
    <n v="0"/>
    <n v="0"/>
    <n v="0"/>
    <n v="131188"/>
    <n v="0"/>
    <n v="131188"/>
    <n v="0"/>
    <n v="0"/>
    <n v="0"/>
    <n v="262376"/>
  </r>
  <r>
    <x v="131"/>
    <x v="12"/>
    <x v="12"/>
    <x v="26"/>
    <n v="0"/>
    <n v="0"/>
    <n v="0"/>
    <n v="0"/>
    <n v="0"/>
    <n v="0"/>
    <n v="17535"/>
    <n v="0"/>
    <n v="17535"/>
    <n v="0"/>
    <n v="0"/>
    <n v="0"/>
    <n v="35070"/>
  </r>
  <r>
    <x v="132"/>
    <x v="2"/>
    <x v="2"/>
    <x v="28"/>
    <n v="491501"/>
    <n v="0"/>
    <n v="491501"/>
    <n v="0"/>
    <n v="0"/>
    <n v="0"/>
    <n v="0"/>
    <n v="0"/>
    <n v="0"/>
    <n v="0"/>
    <n v="0"/>
    <n v="0"/>
    <n v="983002"/>
  </r>
  <r>
    <x v="133"/>
    <x v="18"/>
    <x v="19"/>
    <x v="38"/>
    <n v="0"/>
    <n v="0"/>
    <n v="0"/>
    <n v="10652264"/>
    <n v="0"/>
    <n v="10652264"/>
    <n v="0"/>
    <n v="0"/>
    <n v="0"/>
    <n v="0"/>
    <n v="0"/>
    <n v="0"/>
    <n v="21304528"/>
  </r>
  <r>
    <x v="134"/>
    <x v="2"/>
    <x v="2"/>
    <x v="17"/>
    <n v="58090"/>
    <n v="0"/>
    <n v="58090"/>
    <n v="0"/>
    <n v="0"/>
    <n v="0"/>
    <n v="58460"/>
    <n v="0"/>
    <n v="58460"/>
    <n v="0"/>
    <n v="0"/>
    <n v="0"/>
    <n v="233100"/>
  </r>
  <r>
    <x v="135"/>
    <x v="2"/>
    <x v="2"/>
    <x v="17"/>
    <n v="242450"/>
    <n v="0"/>
    <n v="242450"/>
    <n v="0"/>
    <n v="0"/>
    <n v="0"/>
    <n v="304200.96999999997"/>
    <n v="0"/>
    <n v="304200.96999999997"/>
    <n v="0"/>
    <n v="0"/>
    <n v="0"/>
    <n v="1093301.94"/>
  </r>
  <r>
    <x v="136"/>
    <x v="2"/>
    <x v="2"/>
    <x v="27"/>
    <n v="70499746"/>
    <n v="0"/>
    <n v="70499746"/>
    <n v="0"/>
    <n v="0"/>
    <n v="0"/>
    <n v="61945705"/>
    <m/>
    <n v="61945705"/>
    <n v="0"/>
    <n v="0"/>
    <n v="0"/>
    <n v="264890902"/>
  </r>
  <r>
    <x v="137"/>
    <x v="2"/>
    <x v="2"/>
    <x v="17"/>
    <n v="289245"/>
    <n v="0"/>
    <n v="289245"/>
    <n v="0"/>
    <n v="0"/>
    <n v="0"/>
    <n v="284236"/>
    <n v="0"/>
    <n v="284236"/>
    <n v="0"/>
    <n v="0"/>
    <n v="0"/>
    <n v="1146962"/>
  </r>
  <r>
    <x v="138"/>
    <x v="2"/>
    <x v="2"/>
    <x v="21"/>
    <n v="50000"/>
    <n v="0"/>
    <n v="50000"/>
    <n v="0"/>
    <n v="0"/>
    <n v="0"/>
    <n v="50000"/>
    <n v="0"/>
    <n v="50000"/>
    <n v="0"/>
    <n v="0"/>
    <n v="0"/>
    <n v="200000"/>
  </r>
  <r>
    <x v="139"/>
    <x v="2"/>
    <x v="2"/>
    <x v="17"/>
    <n v="28970.799999999999"/>
    <n v="0"/>
    <n v="28970.799999999999"/>
    <n v="0"/>
    <n v="0"/>
    <n v="0"/>
    <n v="42599"/>
    <n v="0"/>
    <n v="42599"/>
    <n v="0"/>
    <n v="0"/>
    <n v="0"/>
    <n v="143139.6"/>
  </r>
  <r>
    <x v="140"/>
    <x v="2"/>
    <x v="2"/>
    <x v="43"/>
    <n v="2841598"/>
    <n v="0"/>
    <n v="2841598"/>
    <n v="0"/>
    <n v="0"/>
    <n v="0"/>
    <n v="2585804"/>
    <n v="0"/>
    <n v="2585804"/>
    <n v="0"/>
    <n v="0"/>
    <n v="0"/>
    <n v="10854804"/>
  </r>
  <r>
    <x v="141"/>
    <x v="0"/>
    <x v="0"/>
    <x v="1"/>
    <n v="0"/>
    <n v="0"/>
    <n v="0"/>
    <n v="303501"/>
    <n v="0"/>
    <n v="303501"/>
    <n v="0"/>
    <n v="0"/>
    <n v="0"/>
    <n v="310756"/>
    <n v="0"/>
    <n v="310756"/>
    <n v="1228514"/>
  </r>
  <r>
    <x v="142"/>
    <x v="0"/>
    <x v="0"/>
    <x v="0"/>
    <n v="0"/>
    <n v="0"/>
    <n v="0"/>
    <n v="0"/>
    <n v="0"/>
    <n v="0"/>
    <n v="0"/>
    <n v="0"/>
    <n v="0"/>
    <n v="3261"/>
    <n v="0"/>
    <n v="3261"/>
    <n v="6522"/>
  </r>
  <r>
    <x v="143"/>
    <x v="0"/>
    <x v="0"/>
    <x v="0"/>
    <n v="0"/>
    <n v="0"/>
    <n v="0"/>
    <n v="0"/>
    <n v="0"/>
    <n v="0"/>
    <n v="0"/>
    <n v="0"/>
    <n v="0"/>
    <n v="26196"/>
    <n v="0"/>
    <n v="26196"/>
    <n v="52392"/>
  </r>
  <r>
    <x v="144"/>
    <x v="14"/>
    <x v="14"/>
    <x v="34"/>
    <n v="0"/>
    <n v="0"/>
    <n v="0"/>
    <n v="0"/>
    <n v="0"/>
    <n v="0"/>
    <n v="0"/>
    <n v="0"/>
    <n v="0"/>
    <n v="0"/>
    <n v="0"/>
    <n v="0"/>
    <n v="0"/>
  </r>
  <r>
    <x v="145"/>
    <x v="14"/>
    <x v="14"/>
    <x v="34"/>
    <n v="447710"/>
    <n v="0"/>
    <n v="447710"/>
    <n v="0"/>
    <n v="0"/>
    <n v="0"/>
    <n v="447710"/>
    <n v="0"/>
    <n v="447710"/>
    <n v="0"/>
    <n v="0"/>
    <n v="0"/>
    <n v="1790840"/>
  </r>
  <r>
    <x v="146"/>
    <x v="14"/>
    <x v="14"/>
    <x v="34"/>
    <n v="1508572"/>
    <n v="0"/>
    <n v="1508572"/>
    <n v="0"/>
    <n v="0"/>
    <n v="0"/>
    <n v="1508572"/>
    <n v="0"/>
    <n v="1508572"/>
    <n v="0"/>
    <n v="0"/>
    <n v="0"/>
    <n v="6034288"/>
  </r>
  <r>
    <x v="147"/>
    <x v="7"/>
    <x v="7"/>
    <x v="44"/>
    <n v="0"/>
    <n v="0"/>
    <n v="0"/>
    <n v="588805"/>
    <n v="0"/>
    <n v="588805"/>
    <n v="0"/>
    <n v="0"/>
    <n v="0"/>
    <n v="772877"/>
    <n v="0"/>
    <n v="772877"/>
    <n v="2723364"/>
  </r>
  <r>
    <x v="148"/>
    <x v="12"/>
    <x v="12"/>
    <x v="26"/>
    <n v="358420"/>
    <n v="0"/>
    <n v="358420"/>
    <n v="0"/>
    <n v="0"/>
    <n v="0"/>
    <n v="302265"/>
    <n v="0"/>
    <n v="302265"/>
    <n v="0"/>
    <n v="0"/>
    <n v="0"/>
    <n v="1321370"/>
  </r>
  <r>
    <x v="149"/>
    <x v="0"/>
    <x v="0"/>
    <x v="1"/>
    <n v="0"/>
    <n v="0"/>
    <n v="0"/>
    <n v="83450"/>
    <n v="0"/>
    <n v="83450"/>
    <n v="0"/>
    <n v="0"/>
    <n v="0"/>
    <n v="0"/>
    <n v="0"/>
    <n v="0"/>
    <n v="166900"/>
  </r>
  <r>
    <x v="150"/>
    <x v="9"/>
    <x v="9"/>
    <x v="19"/>
    <n v="33965000"/>
    <n v="0"/>
    <n v="33965000"/>
    <n v="0"/>
    <n v="0"/>
    <n v="0"/>
    <n v="33965000"/>
    <n v="0"/>
    <n v="33965000"/>
    <n v="0"/>
    <n v="0"/>
    <n v="0"/>
    <n v="135860000"/>
  </r>
  <r>
    <x v="151"/>
    <x v="18"/>
    <x v="19"/>
    <x v="38"/>
    <n v="0"/>
    <n v="0"/>
    <n v="0"/>
    <n v="1160"/>
    <n v="0"/>
    <n v="1160"/>
    <n v="0"/>
    <n v="0"/>
    <n v="0"/>
    <n v="0"/>
    <n v="0"/>
    <n v="0"/>
    <n v="2320"/>
  </r>
  <r>
    <x v="152"/>
    <x v="9"/>
    <x v="9"/>
    <x v="19"/>
    <n v="1820294"/>
    <n v="0"/>
    <n v="1820294"/>
    <n v="0"/>
    <n v="0"/>
    <n v="0"/>
    <n v="1820294"/>
    <n v="0"/>
    <n v="1820294"/>
    <n v="0"/>
    <n v="0"/>
    <n v="0"/>
    <n v="7281176"/>
  </r>
  <r>
    <x v="153"/>
    <x v="0"/>
    <x v="0"/>
    <x v="0"/>
    <n v="0"/>
    <n v="0"/>
    <n v="0"/>
    <n v="136007"/>
    <n v="0"/>
    <n v="136007"/>
    <n v="44880"/>
    <n v="0"/>
    <n v="44880"/>
    <n v="0"/>
    <n v="0"/>
    <n v="0"/>
    <n v="361774"/>
  </r>
  <r>
    <x v="154"/>
    <x v="0"/>
    <x v="0"/>
    <x v="0"/>
    <n v="0"/>
    <n v="0"/>
    <n v="0"/>
    <n v="0"/>
    <n v="0"/>
    <n v="0"/>
    <n v="0"/>
    <n v="0"/>
    <n v="0"/>
    <n v="979375"/>
    <n v="0"/>
    <n v="979375"/>
    <n v="1958750"/>
  </r>
  <r>
    <x v="155"/>
    <x v="10"/>
    <x v="10"/>
    <x v="45"/>
    <n v="0"/>
    <n v="0"/>
    <n v="0"/>
    <n v="1800000"/>
    <n v="0"/>
    <n v="1800000"/>
    <n v="0"/>
    <n v="0"/>
    <n v="0"/>
    <n v="1800000"/>
    <n v="0"/>
    <n v="1800000"/>
    <n v="7200000"/>
  </r>
  <r>
    <x v="156"/>
    <x v="0"/>
    <x v="0"/>
    <x v="0"/>
    <n v="0"/>
    <n v="0"/>
    <n v="0"/>
    <n v="0"/>
    <n v="0"/>
    <n v="0"/>
    <n v="0"/>
    <n v="0"/>
    <n v="0"/>
    <n v="153329"/>
    <n v="0"/>
    <n v="153329"/>
    <n v="306658"/>
  </r>
  <r>
    <x v="157"/>
    <x v="17"/>
    <x v="18"/>
    <x v="42"/>
    <n v="850764"/>
    <n v="0"/>
    <n v="850764"/>
    <n v="0"/>
    <n v="0"/>
    <n v="0"/>
    <n v="1118356"/>
    <n v="0"/>
    <n v="1118356"/>
    <n v="0"/>
    <n v="0"/>
    <n v="0"/>
    <n v="3938240"/>
  </r>
  <r>
    <x v="158"/>
    <x v="0"/>
    <x v="0"/>
    <x v="1"/>
    <n v="0"/>
    <n v="0"/>
    <n v="0"/>
    <n v="175820"/>
    <n v="0"/>
    <n v="175820"/>
    <n v="0"/>
    <n v="0"/>
    <n v="0"/>
    <n v="0"/>
    <n v="0"/>
    <n v="0"/>
    <n v="351640"/>
  </r>
  <r>
    <x v="159"/>
    <x v="2"/>
    <x v="2"/>
    <x v="8"/>
    <n v="25123"/>
    <n v="0"/>
    <n v="25123"/>
    <n v="0"/>
    <n v="0"/>
    <n v="0"/>
    <n v="0"/>
    <n v="0"/>
    <n v="0"/>
    <n v="0"/>
    <n v="0"/>
    <n v="0"/>
    <n v="50246"/>
  </r>
  <r>
    <x v="160"/>
    <x v="2"/>
    <x v="2"/>
    <x v="29"/>
    <n v="10000"/>
    <n v="0"/>
    <n v="10000"/>
    <n v="0"/>
    <n v="0"/>
    <n v="0"/>
    <n v="30000"/>
    <n v="0"/>
    <n v="30000"/>
    <n v="0"/>
    <n v="0"/>
    <n v="0"/>
    <n v="80000"/>
  </r>
  <r>
    <x v="161"/>
    <x v="2"/>
    <x v="2"/>
    <x v="29"/>
    <n v="45000"/>
    <n v="0"/>
    <n v="45000"/>
    <n v="0"/>
    <n v="0"/>
    <n v="0"/>
    <n v="0"/>
    <n v="0"/>
    <n v="0"/>
    <n v="0"/>
    <n v="0"/>
    <n v="0"/>
    <n v="90000"/>
  </r>
  <r>
    <x v="162"/>
    <x v="2"/>
    <x v="2"/>
    <x v="29"/>
    <n v="40000"/>
    <n v="0"/>
    <n v="40000"/>
    <n v="0"/>
    <n v="0"/>
    <n v="0"/>
    <n v="0"/>
    <n v="0"/>
    <n v="0"/>
    <n v="0"/>
    <n v="0"/>
    <n v="0"/>
    <n v="80000"/>
  </r>
  <r>
    <x v="163"/>
    <x v="2"/>
    <x v="2"/>
    <x v="29"/>
    <n v="0"/>
    <n v="0"/>
    <n v="0"/>
    <n v="0"/>
    <n v="0"/>
    <n v="0"/>
    <n v="22500"/>
    <n v="0"/>
    <n v="22500"/>
    <n v="0"/>
    <n v="0"/>
    <n v="0"/>
    <n v="45000"/>
  </r>
  <r>
    <x v="164"/>
    <x v="0"/>
    <x v="0"/>
    <x v="1"/>
    <n v="0"/>
    <n v="0"/>
    <n v="0"/>
    <n v="76500"/>
    <n v="0"/>
    <n v="76500"/>
    <n v="0"/>
    <n v="0"/>
    <n v="0"/>
    <n v="30000"/>
    <n v="0"/>
    <n v="30000"/>
    <n v="213000"/>
  </r>
  <r>
    <x v="165"/>
    <x v="2"/>
    <x v="2"/>
    <x v="8"/>
    <n v="36000"/>
    <n v="0"/>
    <n v="36000"/>
    <n v="0"/>
    <n v="0"/>
    <n v="0"/>
    <n v="0"/>
    <n v="0"/>
    <n v="0"/>
    <n v="0"/>
    <n v="0"/>
    <n v="0"/>
    <n v="72000"/>
  </r>
  <r>
    <x v="166"/>
    <x v="0"/>
    <x v="0"/>
    <x v="0"/>
    <n v="0"/>
    <n v="0"/>
    <n v="0"/>
    <n v="2016000"/>
    <n v="0"/>
    <n v="2016000"/>
    <n v="0"/>
    <n v="0"/>
    <n v="0"/>
    <n v="0"/>
    <n v="0"/>
    <n v="0"/>
    <n v="4032000"/>
  </r>
  <r>
    <x v="167"/>
    <x v="0"/>
    <x v="0"/>
    <x v="1"/>
    <n v="0"/>
    <n v="0"/>
    <n v="0"/>
    <n v="7608"/>
    <n v="0"/>
    <n v="7608"/>
    <n v="0"/>
    <n v="0"/>
    <n v="0"/>
    <n v="0"/>
    <n v="0"/>
    <n v="0"/>
    <n v="15216"/>
  </r>
  <r>
    <x v="168"/>
    <x v="5"/>
    <x v="5"/>
    <x v="7"/>
    <n v="0"/>
    <n v="0"/>
    <n v="0"/>
    <n v="1093348"/>
    <n v="0"/>
    <n v="1093348"/>
    <n v="0"/>
    <n v="0"/>
    <n v="0"/>
    <n v="1000000"/>
    <n v="0"/>
    <n v="1000000"/>
    <n v="4186696"/>
  </r>
  <r>
    <x v="169"/>
    <x v="1"/>
    <x v="1"/>
    <x v="6"/>
    <n v="38000"/>
    <n v="0"/>
    <n v="38000"/>
    <n v="0"/>
    <n v="0"/>
    <n v="0"/>
    <n v="53500"/>
    <n v="0"/>
    <n v="53500"/>
    <n v="0"/>
    <n v="0"/>
    <n v="0"/>
    <n v="183000"/>
  </r>
  <r>
    <x v="170"/>
    <x v="0"/>
    <x v="0"/>
    <x v="0"/>
    <n v="0"/>
    <n v="0"/>
    <n v="0"/>
    <n v="67845.8"/>
    <n v="0"/>
    <n v="67845.8"/>
    <n v="0"/>
    <n v="0"/>
    <n v="0"/>
    <n v="0"/>
    <n v="0"/>
    <n v="0"/>
    <n v="135691.6"/>
  </r>
  <r>
    <x v="171"/>
    <x v="3"/>
    <x v="3"/>
    <x v="16"/>
    <n v="0"/>
    <n v="0"/>
    <n v="0"/>
    <n v="0"/>
    <n v="0"/>
    <n v="0"/>
    <n v="1729264"/>
    <n v="0"/>
    <n v="1729264"/>
    <n v="0"/>
    <n v="0"/>
    <n v="0"/>
    <n v="3458528"/>
  </r>
  <r>
    <x v="172"/>
    <x v="2"/>
    <x v="2"/>
    <x v="46"/>
    <n v="0"/>
    <n v="0"/>
    <n v="0"/>
    <n v="0"/>
    <n v="0"/>
    <n v="0"/>
    <n v="26000"/>
    <n v="0"/>
    <n v="26000"/>
    <n v="0"/>
    <n v="0"/>
    <n v="0"/>
    <n v="52000"/>
  </r>
  <r>
    <x v="173"/>
    <x v="1"/>
    <x v="1"/>
    <x v="25"/>
    <n v="0"/>
    <n v="0"/>
    <n v="0"/>
    <n v="0"/>
    <n v="0"/>
    <n v="0"/>
    <n v="10786.59"/>
    <n v="0"/>
    <n v="10786.59"/>
    <n v="0"/>
    <n v="0"/>
    <n v="0"/>
    <n v="21573.18"/>
  </r>
  <r>
    <x v="174"/>
    <x v="1"/>
    <x v="1"/>
    <x v="25"/>
    <n v="0"/>
    <n v="0"/>
    <n v="0"/>
    <n v="208713.56"/>
    <n v="0"/>
    <n v="208713.56"/>
    <n v="0"/>
    <n v="0"/>
    <n v="0"/>
    <n v="0"/>
    <n v="0"/>
    <n v="0"/>
    <n v="417427.12"/>
  </r>
  <r>
    <x v="175"/>
    <x v="1"/>
    <x v="1"/>
    <x v="25"/>
    <n v="0"/>
    <n v="0"/>
    <n v="0"/>
    <n v="0"/>
    <n v="0"/>
    <n v="0"/>
    <n v="18000"/>
    <n v="0"/>
    <n v="18000"/>
    <n v="0"/>
    <n v="0"/>
    <n v="0"/>
    <n v="36000"/>
  </r>
  <r>
    <x v="176"/>
    <x v="0"/>
    <x v="0"/>
    <x v="0"/>
    <n v="0"/>
    <n v="0"/>
    <n v="0"/>
    <n v="1762042"/>
    <n v="0"/>
    <n v="1762042"/>
    <n v="0"/>
    <n v="0"/>
    <n v="0"/>
    <n v="0"/>
    <n v="0"/>
    <n v="0"/>
    <n v="3524084"/>
  </r>
  <r>
    <x v="177"/>
    <x v="12"/>
    <x v="12"/>
    <x v="26"/>
    <n v="119902440.14"/>
    <n v="0"/>
    <n v="119902440.14"/>
    <n v="0"/>
    <n v="0"/>
    <n v="0"/>
    <n v="127006722.05"/>
    <n v="0"/>
    <n v="127006722.05"/>
    <n v="0"/>
    <n v="0"/>
    <n v="0"/>
    <n v="493818324.38"/>
  </r>
  <r>
    <x v="178"/>
    <x v="16"/>
    <x v="16"/>
    <x v="35"/>
    <n v="0"/>
    <n v="0"/>
    <n v="0"/>
    <n v="1259230"/>
    <n v="0"/>
    <n v="1259230"/>
    <n v="0"/>
    <n v="0"/>
    <n v="0"/>
    <n v="1265155"/>
    <n v="0"/>
    <n v="1265155"/>
    <n v="5048770"/>
  </r>
  <r>
    <x v="179"/>
    <x v="17"/>
    <x v="18"/>
    <x v="37"/>
    <n v="1259230"/>
    <n v="0"/>
    <n v="1259230"/>
    <n v="0"/>
    <n v="0"/>
    <n v="0"/>
    <n v="1265155"/>
    <n v="0"/>
    <n v="1265155"/>
    <n v="0"/>
    <n v="0"/>
    <n v="0"/>
    <n v="5048770"/>
  </r>
  <r>
    <x v="180"/>
    <x v="0"/>
    <x v="0"/>
    <x v="0"/>
    <n v="0"/>
    <n v="0"/>
    <n v="0"/>
    <n v="0"/>
    <n v="0"/>
    <n v="0"/>
    <n v="0"/>
    <n v="0"/>
    <n v="0"/>
    <n v="336300"/>
    <n v="0"/>
    <n v="336300"/>
    <n v="672600"/>
  </r>
  <r>
    <x v="181"/>
    <x v="0"/>
    <x v="0"/>
    <x v="0"/>
    <n v="0"/>
    <n v="0"/>
    <n v="0"/>
    <n v="102556"/>
    <n v="0"/>
    <n v="102556"/>
    <n v="0"/>
    <n v="0"/>
    <n v="0"/>
    <n v="17898"/>
    <n v="0"/>
    <n v="17898"/>
    <n v="240908"/>
  </r>
  <r>
    <x v="182"/>
    <x v="3"/>
    <x v="3"/>
    <x v="4"/>
    <n v="238781"/>
    <n v="0"/>
    <n v="238781"/>
    <n v="0"/>
    <n v="0"/>
    <n v="0"/>
    <n v="143542"/>
    <n v="0"/>
    <n v="143542"/>
    <n v="0"/>
    <n v="0"/>
    <n v="0"/>
    <n v="764646"/>
  </r>
  <r>
    <x v="183"/>
    <x v="4"/>
    <x v="4"/>
    <x v="5"/>
    <n v="932"/>
    <n v="0"/>
    <n v="932"/>
    <n v="0"/>
    <n v="0"/>
    <n v="0"/>
    <n v="0"/>
    <n v="0"/>
    <n v="0"/>
    <n v="0"/>
    <n v="0"/>
    <n v="0"/>
    <n v="1864"/>
  </r>
  <r>
    <x v="184"/>
    <x v="2"/>
    <x v="2"/>
    <x v="47"/>
    <n v="86275"/>
    <n v="0"/>
    <n v="86275"/>
    <n v="0"/>
    <n v="0"/>
    <n v="0"/>
    <n v="327417"/>
    <n v="0"/>
    <n v="327417"/>
    <n v="0"/>
    <n v="0"/>
    <n v="0"/>
    <n v="827384"/>
  </r>
  <r>
    <x v="185"/>
    <x v="2"/>
    <x v="2"/>
    <x v="3"/>
    <n v="25000"/>
    <n v="0"/>
    <n v="25000"/>
    <n v="0"/>
    <n v="0"/>
    <n v="0"/>
    <n v="0"/>
    <n v="0"/>
    <n v="0"/>
    <n v="0"/>
    <n v="0"/>
    <n v="0"/>
    <n v="50000"/>
  </r>
  <r>
    <x v="186"/>
    <x v="2"/>
    <x v="2"/>
    <x v="48"/>
    <n v="944137"/>
    <n v="0"/>
    <n v="944137"/>
    <n v="0"/>
    <n v="0"/>
    <n v="0"/>
    <n v="1049138"/>
    <n v="0"/>
    <n v="1049138"/>
    <n v="0"/>
    <n v="0"/>
    <n v="0"/>
    <n v="3986550"/>
  </r>
  <r>
    <x v="187"/>
    <x v="15"/>
    <x v="15"/>
    <x v="49"/>
    <n v="0"/>
    <n v="0"/>
    <n v="0"/>
    <n v="0"/>
    <n v="0"/>
    <n v="0"/>
    <n v="380717"/>
    <n v="0"/>
    <n v="380717"/>
    <n v="0"/>
    <n v="0"/>
    <n v="0"/>
    <n v="761434"/>
  </r>
  <r>
    <x v="188"/>
    <x v="15"/>
    <x v="15"/>
    <x v="50"/>
    <n v="414161"/>
    <n v="0"/>
    <n v="414161"/>
    <n v="0"/>
    <n v="0"/>
    <n v="0"/>
    <n v="432678"/>
    <n v="0"/>
    <n v="432678"/>
    <n v="0"/>
    <n v="0"/>
    <n v="0"/>
    <n v="1693678"/>
  </r>
  <r>
    <x v="189"/>
    <x v="7"/>
    <x v="7"/>
    <x v="51"/>
    <n v="0"/>
    <n v="0"/>
    <n v="0"/>
    <n v="169041"/>
    <n v="0"/>
    <n v="169041"/>
    <n v="0"/>
    <n v="0"/>
    <n v="0"/>
    <n v="183449.05"/>
    <m/>
    <n v="183449.05"/>
    <n v="704980.1"/>
  </r>
  <r>
    <x v="190"/>
    <x v="7"/>
    <x v="7"/>
    <x v="52"/>
    <n v="0"/>
    <n v="0"/>
    <n v="0"/>
    <n v="490"/>
    <n v="0"/>
    <n v="490"/>
    <n v="0"/>
    <n v="0"/>
    <n v="0"/>
    <n v="0"/>
    <m/>
    <m/>
    <m/>
  </r>
  <r>
    <x v="191"/>
    <x v="7"/>
    <x v="7"/>
    <x v="52"/>
    <n v="0"/>
    <n v="0"/>
    <n v="0"/>
    <n v="8724"/>
    <n v="0"/>
    <n v="8724"/>
    <n v="0"/>
    <n v="0"/>
    <n v="0"/>
    <n v="0"/>
    <m/>
    <m/>
    <m/>
  </r>
  <r>
    <x v="192"/>
    <x v="2"/>
    <x v="2"/>
    <x v="21"/>
    <n v="0"/>
    <n v="0"/>
    <n v="0"/>
    <n v="0"/>
    <n v="0"/>
    <n v="0"/>
    <n v="25345"/>
    <n v="0"/>
    <n v="25345"/>
    <n v="0"/>
    <n v="0"/>
    <n v="0"/>
    <n v="50690"/>
  </r>
  <r>
    <x v="193"/>
    <x v="7"/>
    <x v="7"/>
    <x v="52"/>
    <n v="0"/>
    <n v="0"/>
    <n v="0"/>
    <n v="0"/>
    <n v="0"/>
    <n v="0"/>
    <n v="0"/>
    <m/>
    <n v="0"/>
    <n v="0"/>
    <n v="0"/>
    <n v="0"/>
    <n v="0"/>
  </r>
  <r>
    <x v="194"/>
    <x v="8"/>
    <x v="8"/>
    <x v="53"/>
    <n v="3023"/>
    <n v="0"/>
    <n v="3023"/>
    <n v="0"/>
    <n v="0"/>
    <n v="0"/>
    <n v="16003"/>
    <n v="0"/>
    <n v="16003"/>
    <n v="0"/>
    <n v="0"/>
    <n v="0"/>
    <n v="38052"/>
  </r>
  <r>
    <x v="195"/>
    <x v="8"/>
    <x v="8"/>
    <x v="53"/>
    <n v="29695"/>
    <n v="0"/>
    <n v="29695"/>
    <n v="0"/>
    <n v="0"/>
    <n v="0"/>
    <n v="53707"/>
    <n v="0"/>
    <n v="53707"/>
    <n v="0"/>
    <n v="0"/>
    <n v="0"/>
    <n v="166804"/>
  </r>
  <r>
    <x v="196"/>
    <x v="8"/>
    <x v="8"/>
    <x v="53"/>
    <n v="38511"/>
    <n v="0"/>
    <n v="38511"/>
    <n v="0"/>
    <n v="0"/>
    <n v="0"/>
    <n v="58427"/>
    <n v="0"/>
    <n v="58427"/>
    <n v="0"/>
    <n v="0"/>
    <n v="0"/>
    <n v="193876"/>
  </r>
  <r>
    <x v="197"/>
    <x v="8"/>
    <x v="8"/>
    <x v="53"/>
    <n v="672181"/>
    <n v="0"/>
    <n v="672181"/>
    <n v="0"/>
    <n v="0"/>
    <n v="0"/>
    <n v="1002896"/>
    <n v="0"/>
    <n v="1002896"/>
    <n v="0"/>
    <n v="0"/>
    <n v="0"/>
    <n v="3350154"/>
  </r>
  <r>
    <x v="198"/>
    <x v="8"/>
    <x v="8"/>
    <x v="53"/>
    <n v="867002"/>
    <n v="0"/>
    <n v="867002"/>
    <n v="0"/>
    <n v="0"/>
    <n v="0"/>
    <n v="1332922"/>
    <n v="0"/>
    <n v="1332922"/>
    <n v="0"/>
    <n v="0"/>
    <n v="0"/>
    <n v="4399848"/>
  </r>
  <r>
    <x v="199"/>
    <x v="2"/>
    <x v="2"/>
    <x v="21"/>
    <n v="5436"/>
    <n v="0"/>
    <n v="5436"/>
    <n v="0"/>
    <n v="0"/>
    <n v="0"/>
    <n v="3632"/>
    <n v="0"/>
    <n v="3632"/>
    <n v="0"/>
    <n v="0"/>
    <n v="0"/>
    <n v="18136"/>
  </r>
  <r>
    <x v="200"/>
    <x v="2"/>
    <x v="2"/>
    <x v="21"/>
    <n v="27865"/>
    <n v="0"/>
    <n v="27865"/>
    <n v="0"/>
    <n v="0"/>
    <n v="0"/>
    <n v="17476"/>
    <n v="0"/>
    <n v="17476"/>
    <n v="0"/>
    <n v="0"/>
    <n v="0"/>
    <n v="90682"/>
  </r>
  <r>
    <x v="201"/>
    <x v="2"/>
    <x v="2"/>
    <x v="21"/>
    <n v="2414"/>
    <n v="0"/>
    <n v="2414"/>
    <n v="0"/>
    <n v="0"/>
    <n v="0"/>
    <n v="38"/>
    <n v="0"/>
    <n v="38"/>
    <n v="0"/>
    <n v="0"/>
    <n v="0"/>
    <n v="4904"/>
  </r>
  <r>
    <x v="202"/>
    <x v="2"/>
    <x v="2"/>
    <x v="21"/>
    <n v="285659"/>
    <n v="0"/>
    <n v="285659"/>
    <n v="0"/>
    <n v="0"/>
    <n v="0"/>
    <n v="263266.87"/>
    <n v="0"/>
    <n v="263266.87"/>
    <n v="0"/>
    <n v="0"/>
    <n v="0"/>
    <n v="1097851.74"/>
  </r>
  <r>
    <x v="203"/>
    <x v="2"/>
    <x v="2"/>
    <x v="21"/>
    <n v="200"/>
    <n v="0"/>
    <n v="200"/>
    <n v="0"/>
    <n v="0"/>
    <n v="0"/>
    <n v="410"/>
    <n v="0"/>
    <n v="410"/>
    <n v="0"/>
    <n v="0"/>
    <n v="0"/>
    <n v="1220"/>
  </r>
  <r>
    <x v="204"/>
    <x v="2"/>
    <x v="2"/>
    <x v="21"/>
    <n v="5485"/>
    <n v="0"/>
    <n v="5485"/>
    <n v="0"/>
    <n v="0"/>
    <n v="0"/>
    <n v="0"/>
    <n v="0"/>
    <n v="0"/>
    <n v="0"/>
    <n v="0"/>
    <n v="0"/>
    <n v="10970"/>
  </r>
  <r>
    <x v="205"/>
    <x v="2"/>
    <x v="2"/>
    <x v="21"/>
    <n v="29250"/>
    <n v="0"/>
    <n v="29250"/>
    <n v="0"/>
    <n v="0"/>
    <n v="0"/>
    <n v="0"/>
    <n v="0"/>
    <n v="0"/>
    <n v="0"/>
    <n v="0"/>
    <n v="0"/>
    <n v="58500"/>
  </r>
  <r>
    <x v="206"/>
    <x v="2"/>
    <x v="2"/>
    <x v="21"/>
    <n v="5436"/>
    <n v="0"/>
    <n v="5436"/>
    <n v="0"/>
    <n v="0"/>
    <n v="0"/>
    <n v="3632"/>
    <n v="0"/>
    <n v="3632"/>
    <n v="0"/>
    <n v="0"/>
    <n v="0"/>
    <n v="18136"/>
  </r>
  <r>
    <x v="207"/>
    <x v="2"/>
    <x v="2"/>
    <x v="21"/>
    <n v="2330"/>
    <n v="0"/>
    <n v="2330"/>
    <n v="0"/>
    <n v="0"/>
    <n v="0"/>
    <n v="22179"/>
    <n v="0"/>
    <n v="22179"/>
    <n v="0"/>
    <n v="0"/>
    <n v="0"/>
    <n v="49018"/>
  </r>
  <r>
    <x v="208"/>
    <x v="7"/>
    <x v="7"/>
    <x v="52"/>
    <n v="0"/>
    <n v="0"/>
    <n v="0"/>
    <n v="0"/>
    <n v="0"/>
    <n v="0"/>
    <n v="0"/>
    <n v="0"/>
    <n v="0"/>
    <n v="47130"/>
    <n v="0"/>
    <n v="47130"/>
    <n v="94260"/>
  </r>
  <r>
    <x v="209"/>
    <x v="2"/>
    <x v="2"/>
    <x v="21"/>
    <n v="12071"/>
    <n v="0"/>
    <n v="12071"/>
    <n v="0"/>
    <n v="0"/>
    <n v="0"/>
    <n v="0"/>
    <n v="0"/>
    <n v="0"/>
    <n v="0"/>
    <n v="0"/>
    <n v="0"/>
    <n v="24142"/>
  </r>
  <r>
    <x v="210"/>
    <x v="6"/>
    <x v="6"/>
    <x v="54"/>
    <n v="0"/>
    <n v="0"/>
    <n v="0"/>
    <n v="574034.93999999994"/>
    <n v="0"/>
    <n v="574034.93999999994"/>
    <n v="0"/>
    <n v="0"/>
    <n v="0"/>
    <n v="262026"/>
    <n v="0"/>
    <n v="262026"/>
    <n v="1672121.88"/>
  </r>
  <r>
    <x v="211"/>
    <x v="8"/>
    <x v="8"/>
    <x v="53"/>
    <n v="4933411.9400000004"/>
    <n v="0"/>
    <n v="4933411.9400000004"/>
    <n v="0"/>
    <n v="0"/>
    <n v="0"/>
    <n v="5694330"/>
    <n v="0"/>
    <n v="5694330"/>
    <n v="0"/>
    <n v="0"/>
    <n v="0"/>
    <n v="21255483.880000003"/>
  </r>
  <r>
    <x v="212"/>
    <x v="8"/>
    <x v="8"/>
    <x v="53"/>
    <n v="166917"/>
    <n v="0"/>
    <n v="166917"/>
    <n v="0"/>
    <n v="0"/>
    <n v="0"/>
    <n v="523984"/>
    <n v="0"/>
    <n v="523984"/>
    <n v="0"/>
    <n v="0"/>
    <n v="0"/>
    <n v="1381802"/>
  </r>
  <r>
    <x v="213"/>
    <x v="8"/>
    <x v="8"/>
    <x v="53"/>
    <n v="441375"/>
    <n v="0"/>
    <n v="441375"/>
    <n v="0"/>
    <n v="0"/>
    <n v="0"/>
    <n v="1401926"/>
    <n v="0"/>
    <n v="1401926"/>
    <n v="0"/>
    <n v="0"/>
    <n v="0"/>
    <n v="3686602"/>
  </r>
  <r>
    <x v="214"/>
    <x v="8"/>
    <x v="8"/>
    <x v="53"/>
    <n v="1878337"/>
    <n v="0"/>
    <n v="1878337"/>
    <n v="0"/>
    <n v="0"/>
    <n v="0"/>
    <n v="3826381"/>
    <n v="0"/>
    <n v="3826381"/>
    <n v="0"/>
    <n v="0"/>
    <n v="0"/>
    <n v="11409436"/>
  </r>
  <r>
    <x v="215"/>
    <x v="2"/>
    <x v="2"/>
    <x v="12"/>
    <n v="196000"/>
    <n v="0"/>
    <n v="196000"/>
    <n v="0"/>
    <n v="0"/>
    <n v="0"/>
    <n v="360000"/>
    <n v="0"/>
    <n v="360000"/>
    <n v="0"/>
    <n v="0"/>
    <n v="0"/>
    <n v="1112000"/>
  </r>
  <r>
    <x v="216"/>
    <x v="0"/>
    <x v="0"/>
    <x v="0"/>
    <n v="0"/>
    <n v="0"/>
    <n v="0"/>
    <n v="0"/>
    <n v="0"/>
    <n v="0"/>
    <n v="0"/>
    <n v="0"/>
    <n v="0"/>
    <n v="95344"/>
    <n v="0"/>
    <n v="95344"/>
    <n v="190688"/>
  </r>
  <r>
    <x v="217"/>
    <x v="0"/>
    <x v="0"/>
    <x v="0"/>
    <n v="0"/>
    <n v="0"/>
    <n v="0"/>
    <n v="366473"/>
    <n v="0"/>
    <n v="366473"/>
    <n v="0"/>
    <n v="0"/>
    <n v="0"/>
    <n v="447447"/>
    <n v="0"/>
    <n v="447447"/>
    <n v="1627840"/>
  </r>
  <r>
    <x v="218"/>
    <x v="3"/>
    <x v="3"/>
    <x v="4"/>
    <n v="556227"/>
    <n v="0"/>
    <n v="556227"/>
    <n v="0"/>
    <n v="0"/>
    <n v="0"/>
    <n v="521284"/>
    <n v="0"/>
    <n v="521284"/>
    <n v="0"/>
    <n v="0"/>
    <n v="0"/>
    <n v="2155022"/>
  </r>
  <r>
    <x v="219"/>
    <x v="3"/>
    <x v="3"/>
    <x v="4"/>
    <n v="50433"/>
    <n v="0"/>
    <n v="50433"/>
    <n v="0"/>
    <n v="0"/>
    <n v="0"/>
    <n v="42545"/>
    <n v="0"/>
    <n v="42545"/>
    <n v="0"/>
    <n v="0"/>
    <n v="0"/>
    <n v="185956"/>
  </r>
  <r>
    <x v="220"/>
    <x v="0"/>
    <x v="0"/>
    <x v="0"/>
    <n v="0"/>
    <n v="0"/>
    <n v="0"/>
    <n v="54442"/>
    <n v="0"/>
    <n v="54442"/>
    <n v="0"/>
    <n v="0"/>
    <n v="0"/>
    <n v="0"/>
    <n v="0"/>
    <n v="0"/>
    <n v="108884"/>
  </r>
  <r>
    <x v="221"/>
    <x v="0"/>
    <x v="0"/>
    <x v="1"/>
    <n v="0"/>
    <n v="0"/>
    <n v="0"/>
    <n v="2950"/>
    <n v="0"/>
    <n v="2950"/>
    <n v="0"/>
    <n v="0"/>
    <n v="0"/>
    <n v="0"/>
    <n v="0"/>
    <n v="0"/>
    <n v="5900"/>
  </r>
  <r>
    <x v="222"/>
    <x v="0"/>
    <x v="0"/>
    <x v="1"/>
    <n v="0"/>
    <n v="0"/>
    <n v="0"/>
    <n v="23502"/>
    <n v="0"/>
    <n v="23502"/>
    <n v="0"/>
    <n v="0"/>
    <n v="0"/>
    <n v="28497"/>
    <n v="0"/>
    <n v="28497"/>
    <n v="103998"/>
  </r>
  <r>
    <x v="223"/>
    <x v="5"/>
    <x v="5"/>
    <x v="7"/>
    <n v="0"/>
    <n v="0"/>
    <n v="0"/>
    <n v="6498343"/>
    <n v="0"/>
    <n v="6498343"/>
    <n v="0"/>
    <n v="0"/>
    <n v="0"/>
    <n v="6500000"/>
    <n v="0"/>
    <n v="6500000"/>
    <n v="25996686"/>
  </r>
  <r>
    <x v="224"/>
    <x v="0"/>
    <x v="0"/>
    <x v="0"/>
    <n v="0"/>
    <n v="0"/>
    <n v="0"/>
    <n v="6710"/>
    <n v="0"/>
    <n v="6710"/>
    <n v="0"/>
    <n v="0"/>
    <n v="0"/>
    <n v="0"/>
    <n v="0"/>
    <n v="0"/>
    <n v="13420"/>
  </r>
  <r>
    <x v="225"/>
    <x v="3"/>
    <x v="3"/>
    <x v="4"/>
    <n v="0"/>
    <n v="0"/>
    <n v="0"/>
    <n v="0"/>
    <n v="0"/>
    <n v="0"/>
    <n v="1545645"/>
    <n v="0"/>
    <n v="1545645"/>
    <n v="0"/>
    <n v="0"/>
    <n v="0"/>
    <n v="3091290"/>
  </r>
  <r>
    <x v="226"/>
    <x v="3"/>
    <x v="3"/>
    <x v="4"/>
    <n v="0"/>
    <n v="0"/>
    <n v="0"/>
    <n v="0"/>
    <n v="0"/>
    <n v="0"/>
    <n v="739696"/>
    <n v="0"/>
    <n v="739696"/>
    <n v="0"/>
    <n v="0"/>
    <n v="0"/>
    <n v="1479392"/>
  </r>
  <r>
    <x v="227"/>
    <x v="3"/>
    <x v="3"/>
    <x v="4"/>
    <n v="1680601"/>
    <n v="0"/>
    <n v="1680601"/>
    <n v="0"/>
    <n v="0"/>
    <n v="0"/>
    <n v="0"/>
    <n v="0"/>
    <n v="0"/>
    <n v="0"/>
    <n v="0"/>
    <n v="0"/>
    <n v="3361202"/>
  </r>
  <r>
    <x v="228"/>
    <x v="0"/>
    <x v="0"/>
    <x v="1"/>
    <n v="0"/>
    <n v="0"/>
    <n v="0"/>
    <n v="6434"/>
    <n v="0"/>
    <n v="6434"/>
    <n v="0"/>
    <n v="0"/>
    <n v="0"/>
    <n v="0"/>
    <n v="0"/>
    <n v="0"/>
    <n v="12868"/>
  </r>
  <r>
    <x v="229"/>
    <x v="1"/>
    <x v="1"/>
    <x v="6"/>
    <n v="92000"/>
    <n v="0"/>
    <n v="92000"/>
    <n v="0"/>
    <n v="0"/>
    <n v="0"/>
    <n v="80000"/>
    <n v="0"/>
    <n v="80000"/>
    <n v="0"/>
    <n v="0"/>
    <n v="0"/>
    <n v="344000"/>
  </r>
  <r>
    <x v="230"/>
    <x v="0"/>
    <x v="0"/>
    <x v="1"/>
    <n v="0"/>
    <n v="0"/>
    <n v="0"/>
    <n v="21679"/>
    <n v="0"/>
    <n v="21679"/>
    <n v="0"/>
    <n v="0"/>
    <n v="0"/>
    <n v="0"/>
    <n v="0"/>
    <n v="0"/>
    <n v="43358"/>
  </r>
  <r>
    <x v="231"/>
    <x v="0"/>
    <x v="0"/>
    <x v="1"/>
    <n v="0"/>
    <n v="0"/>
    <n v="0"/>
    <n v="2463"/>
    <n v="0"/>
    <n v="2463"/>
    <n v="0"/>
    <n v="0"/>
    <n v="0"/>
    <n v="0"/>
    <n v="0"/>
    <n v="0"/>
    <n v="4926"/>
  </r>
  <r>
    <x v="232"/>
    <x v="5"/>
    <x v="5"/>
    <x v="7"/>
    <n v="0"/>
    <n v="0"/>
    <n v="0"/>
    <n v="3280041"/>
    <n v="0"/>
    <n v="3280041"/>
    <n v="0"/>
    <n v="0"/>
    <n v="0"/>
    <n v="3000000"/>
    <n v="0"/>
    <n v="3000000"/>
    <n v="12560082"/>
  </r>
  <r>
    <x v="233"/>
    <x v="0"/>
    <x v="0"/>
    <x v="0"/>
    <n v="0"/>
    <n v="0"/>
    <n v="0"/>
    <n v="6148401"/>
    <n v="0"/>
    <n v="6148401"/>
    <n v="0"/>
    <n v="0"/>
    <n v="0"/>
    <n v="3476359.5"/>
    <n v="0"/>
    <n v="3476359.5"/>
    <n v="19249521"/>
  </r>
  <r>
    <x v="234"/>
    <x v="3"/>
    <x v="3"/>
    <x v="4"/>
    <n v="0"/>
    <n v="0"/>
    <n v="0"/>
    <n v="22611"/>
    <n v="0"/>
    <n v="22611"/>
    <n v="709104"/>
    <n v="0"/>
    <n v="709104"/>
    <n v="0"/>
    <n v="0"/>
    <n v="0"/>
    <n v="1463430"/>
  </r>
  <r>
    <x v="235"/>
    <x v="1"/>
    <x v="1"/>
    <x v="6"/>
    <n v="23000"/>
    <n v="0"/>
    <n v="23000"/>
    <n v="0"/>
    <n v="0"/>
    <n v="0"/>
    <n v="41000"/>
    <n v="0"/>
    <n v="41000"/>
    <n v="0"/>
    <n v="0"/>
    <n v="0"/>
    <n v="128000"/>
  </r>
  <r>
    <x v="236"/>
    <x v="0"/>
    <x v="0"/>
    <x v="0"/>
    <n v="0"/>
    <n v="0"/>
    <n v="0"/>
    <n v="0"/>
    <n v="0"/>
    <n v="0"/>
    <n v="0"/>
    <n v="0"/>
    <n v="0"/>
    <n v="28611"/>
    <n v="0"/>
    <n v="28611"/>
    <n v="57222"/>
  </r>
  <r>
    <x v="237"/>
    <x v="0"/>
    <x v="0"/>
    <x v="1"/>
    <n v="0"/>
    <n v="0"/>
    <n v="0"/>
    <n v="49045"/>
    <n v="0"/>
    <n v="49045"/>
    <n v="0"/>
    <n v="0"/>
    <n v="0"/>
    <n v="44653"/>
    <n v="0"/>
    <n v="44653"/>
    <n v="187396"/>
  </r>
  <r>
    <x v="238"/>
    <x v="2"/>
    <x v="2"/>
    <x v="21"/>
    <n v="14352"/>
    <n v="0"/>
    <n v="14352"/>
    <n v="0"/>
    <n v="0"/>
    <n v="0"/>
    <n v="14688"/>
    <n v="0"/>
    <n v="14688"/>
    <n v="0"/>
    <n v="0"/>
    <n v="0"/>
    <n v="58080"/>
  </r>
  <r>
    <x v="239"/>
    <x v="0"/>
    <x v="0"/>
    <x v="0"/>
    <n v="0"/>
    <n v="0"/>
    <n v="0"/>
    <n v="2096163"/>
    <n v="0"/>
    <n v="2096163"/>
    <n v="0"/>
    <n v="0"/>
    <n v="0"/>
    <n v="1191319"/>
    <n v="0"/>
    <n v="1191319"/>
    <n v="6574964"/>
  </r>
  <r>
    <x v="240"/>
    <x v="3"/>
    <x v="3"/>
    <x v="16"/>
    <n v="16519422"/>
    <n v="0"/>
    <n v="16519422"/>
    <n v="0"/>
    <n v="0"/>
    <n v="0"/>
    <n v="14635343"/>
    <n v="0"/>
    <n v="14635343"/>
    <n v="0"/>
    <n v="0"/>
    <n v="0"/>
    <n v="62309530"/>
  </r>
  <r>
    <x v="241"/>
    <x v="0"/>
    <x v="0"/>
    <x v="0"/>
    <n v="0"/>
    <n v="0"/>
    <n v="0"/>
    <n v="635040"/>
    <n v="0"/>
    <n v="635040"/>
    <n v="0"/>
    <n v="0"/>
    <n v="0"/>
    <n v="2736592"/>
    <n v="0"/>
    <n v="2736592"/>
    <n v="6743264"/>
  </r>
  <r>
    <x v="242"/>
    <x v="2"/>
    <x v="2"/>
    <x v="21"/>
    <n v="0"/>
    <n v="0"/>
    <n v="0"/>
    <n v="0"/>
    <n v="0"/>
    <n v="0"/>
    <n v="3450"/>
    <n v="0"/>
    <n v="3450"/>
    <n v="0"/>
    <n v="0"/>
    <n v="0"/>
    <n v="6900"/>
  </r>
  <r>
    <x v="243"/>
    <x v="8"/>
    <x v="8"/>
    <x v="53"/>
    <n v="0"/>
    <n v="0"/>
    <n v="0"/>
    <n v="0"/>
    <n v="0"/>
    <n v="0"/>
    <n v="6243"/>
    <n v="0"/>
    <n v="6243"/>
    <n v="0"/>
    <n v="0"/>
    <n v="0"/>
    <n v="12486"/>
  </r>
  <r>
    <x v="244"/>
    <x v="17"/>
    <x v="18"/>
    <x v="37"/>
    <n v="195649"/>
    <n v="0"/>
    <n v="195649"/>
    <n v="0"/>
    <n v="0"/>
    <n v="0"/>
    <n v="247570"/>
    <n v="0"/>
    <n v="247570"/>
    <n v="0"/>
    <n v="0"/>
    <n v="0"/>
    <n v="886438"/>
  </r>
  <r>
    <x v="245"/>
    <x v="16"/>
    <x v="16"/>
    <x v="35"/>
    <n v="0"/>
    <n v="0"/>
    <n v="0"/>
    <n v="195649"/>
    <n v="0"/>
    <n v="195649"/>
    <n v="0"/>
    <n v="0"/>
    <n v="0"/>
    <n v="184974"/>
    <n v="0"/>
    <n v="184974"/>
    <n v="761246"/>
  </r>
  <r>
    <x v="246"/>
    <x v="2"/>
    <x v="2"/>
    <x v="29"/>
    <n v="133198.18"/>
    <n v="0"/>
    <n v="133198.18"/>
    <n v="0"/>
    <n v="0"/>
    <n v="0"/>
    <n v="642892"/>
    <n v="0"/>
    <n v="642892"/>
    <n v="0"/>
    <n v="0"/>
    <n v="0"/>
    <n v="1552180.3599999999"/>
  </r>
  <r>
    <x v="247"/>
    <x v="3"/>
    <x v="3"/>
    <x v="4"/>
    <n v="288108"/>
    <n v="0"/>
    <n v="288108"/>
    <n v="0"/>
    <n v="0"/>
    <n v="0"/>
    <n v="250640"/>
    <n v="0"/>
    <n v="250640"/>
    <n v="0"/>
    <n v="0"/>
    <n v="0"/>
    <n v="1077496"/>
  </r>
  <r>
    <x v="248"/>
    <x v="0"/>
    <x v="0"/>
    <x v="0"/>
    <n v="0"/>
    <n v="0"/>
    <n v="0"/>
    <n v="9718147"/>
    <n v="0"/>
    <n v="9718147"/>
    <n v="0"/>
    <n v="0"/>
    <n v="0"/>
    <n v="0"/>
    <n v="0"/>
    <n v="0"/>
    <n v="19436294"/>
  </r>
  <r>
    <x v="249"/>
    <x v="2"/>
    <x v="2"/>
    <x v="22"/>
    <n v="149343"/>
    <n v="0"/>
    <n v="149343"/>
    <n v="0"/>
    <n v="0"/>
    <n v="0"/>
    <n v="149546"/>
    <n v="0"/>
    <n v="149546"/>
    <n v="0"/>
    <n v="0"/>
    <n v="0"/>
    <n v="597778"/>
  </r>
  <r>
    <x v="250"/>
    <x v="2"/>
    <x v="2"/>
    <x v="22"/>
    <n v="969798"/>
    <n v="0"/>
    <n v="969798"/>
    <n v="0"/>
    <n v="0"/>
    <n v="0"/>
    <n v="994957"/>
    <n v="0"/>
    <n v="994957"/>
    <n v="0"/>
    <n v="0"/>
    <n v="0"/>
    <n v="3929510"/>
  </r>
  <r>
    <x v="251"/>
    <x v="2"/>
    <x v="2"/>
    <x v="22"/>
    <n v="1446914"/>
    <n v="0"/>
    <n v="1446914"/>
    <n v="0"/>
    <n v="0"/>
    <n v="0"/>
    <n v="938573.13"/>
    <n v="0"/>
    <n v="938573.13"/>
    <n v="0"/>
    <n v="0"/>
    <n v="0"/>
    <n v="4770974.26"/>
  </r>
  <r>
    <x v="252"/>
    <x v="2"/>
    <x v="2"/>
    <x v="22"/>
    <n v="10783983.359999999"/>
    <n v="0"/>
    <n v="10783983.359999999"/>
    <n v="0"/>
    <n v="0"/>
    <n v="0"/>
    <n v="17174810.899999999"/>
    <n v="0"/>
    <n v="17174810.899999999"/>
    <n v="0"/>
    <n v="0"/>
    <n v="0"/>
    <n v="55917588.519999996"/>
  </r>
  <r>
    <x v="253"/>
    <x v="0"/>
    <x v="0"/>
    <x v="0"/>
    <n v="0"/>
    <n v="0"/>
    <n v="0"/>
    <n v="55663"/>
    <n v="0"/>
    <n v="55663"/>
    <n v="0"/>
    <n v="0"/>
    <n v="0"/>
    <n v="54944"/>
    <n v="0"/>
    <n v="54944"/>
    <n v="221214"/>
  </r>
  <r>
    <x v="254"/>
    <x v="4"/>
    <x v="4"/>
    <x v="5"/>
    <n v="4609940"/>
    <n v="0"/>
    <n v="4609940"/>
    <n v="0"/>
    <n v="0"/>
    <n v="0"/>
    <n v="5000454"/>
    <n v="0"/>
    <n v="5000454"/>
    <n v="0"/>
    <n v="0"/>
    <n v="0"/>
    <n v="19220788"/>
  </r>
  <r>
    <x v="255"/>
    <x v="1"/>
    <x v="1"/>
    <x v="6"/>
    <n v="0"/>
    <n v="0"/>
    <n v="0"/>
    <n v="0"/>
    <n v="0"/>
    <n v="0"/>
    <n v="7000"/>
    <n v="0"/>
    <n v="7000"/>
    <n v="0"/>
    <n v="0"/>
    <n v="0"/>
    <n v="14000"/>
  </r>
  <r>
    <x v="256"/>
    <x v="0"/>
    <x v="0"/>
    <x v="1"/>
    <n v="18479"/>
    <n v="0"/>
    <n v="18479"/>
    <n v="0"/>
    <n v="0"/>
    <n v="0"/>
    <n v="0"/>
    <n v="0"/>
    <n v="0"/>
    <n v="0"/>
    <n v="0"/>
    <n v="0"/>
    <n v="36958"/>
  </r>
  <r>
    <x v="257"/>
    <x v="0"/>
    <x v="0"/>
    <x v="1"/>
    <n v="0"/>
    <n v="0"/>
    <n v="0"/>
    <n v="15790"/>
    <n v="0"/>
    <n v="15790"/>
    <n v="0"/>
    <n v="0"/>
    <n v="0"/>
    <n v="15950"/>
    <n v="0"/>
    <n v="15950"/>
    <n v="63480"/>
  </r>
  <r>
    <x v="258"/>
    <x v="1"/>
    <x v="1"/>
    <x v="6"/>
    <n v="6000"/>
    <n v="0"/>
    <n v="6000"/>
    <n v="0"/>
    <n v="0"/>
    <n v="0"/>
    <n v="0"/>
    <n v="0"/>
    <n v="0"/>
    <n v="0"/>
    <n v="0"/>
    <n v="0"/>
    <n v="12000"/>
  </r>
  <r>
    <x v="259"/>
    <x v="1"/>
    <x v="1"/>
    <x v="6"/>
    <n v="26000"/>
    <n v="0"/>
    <n v="26000"/>
    <n v="0"/>
    <n v="0"/>
    <n v="0"/>
    <n v="18000"/>
    <n v="0"/>
    <n v="18000"/>
    <n v="0"/>
    <n v="0"/>
    <n v="0"/>
    <n v="88000"/>
  </r>
  <r>
    <x v="260"/>
    <x v="1"/>
    <x v="1"/>
    <x v="55"/>
    <n v="0"/>
    <n v="0"/>
    <n v="0"/>
    <n v="0"/>
    <n v="0"/>
    <n v="0"/>
    <n v="127987"/>
    <n v="0"/>
    <n v="127987"/>
    <n v="0"/>
    <n v="0"/>
    <n v="0"/>
    <n v="255974"/>
  </r>
  <r>
    <x v="261"/>
    <x v="1"/>
    <x v="1"/>
    <x v="55"/>
    <n v="0"/>
    <n v="0"/>
    <n v="0"/>
    <n v="0"/>
    <n v="0"/>
    <n v="0"/>
    <n v="556434"/>
    <n v="0"/>
    <n v="556434"/>
    <n v="0"/>
    <n v="0"/>
    <n v="0"/>
    <n v="1112868"/>
  </r>
  <r>
    <x v="262"/>
    <x v="1"/>
    <x v="1"/>
    <x v="55"/>
    <n v="1021090"/>
    <n v="0"/>
    <n v="1021090"/>
    <n v="0"/>
    <n v="0"/>
    <n v="0"/>
    <n v="1848942"/>
    <n v="0"/>
    <n v="1848942"/>
    <n v="0"/>
    <n v="0"/>
    <n v="0"/>
    <n v="5740064"/>
  </r>
  <r>
    <x v="263"/>
    <x v="1"/>
    <x v="1"/>
    <x v="55"/>
    <n v="6404071"/>
    <n v="0"/>
    <n v="6404071"/>
    <n v="0"/>
    <n v="0"/>
    <n v="0"/>
    <n v="6404071"/>
    <n v="0"/>
    <n v="6404071"/>
    <n v="0"/>
    <n v="0"/>
    <n v="0"/>
    <n v="25616284"/>
  </r>
  <r>
    <x v="264"/>
    <x v="1"/>
    <x v="1"/>
    <x v="55"/>
    <n v="479434"/>
    <n v="0"/>
    <n v="479434"/>
    <n v="0"/>
    <n v="0"/>
    <n v="0"/>
    <n v="479434"/>
    <n v="0"/>
    <n v="479434"/>
    <n v="0"/>
    <n v="0"/>
    <n v="0"/>
    <n v="1917736"/>
  </r>
  <r>
    <x v="265"/>
    <x v="0"/>
    <x v="0"/>
    <x v="0"/>
    <n v="0"/>
    <n v="0"/>
    <n v="0"/>
    <n v="30472"/>
    <n v="0"/>
    <n v="30472"/>
    <n v="0"/>
    <n v="0"/>
    <n v="0"/>
    <n v="0"/>
    <n v="0"/>
    <n v="0"/>
    <n v="60944"/>
  </r>
  <r>
    <x v="266"/>
    <x v="17"/>
    <x v="18"/>
    <x v="56"/>
    <n v="239427"/>
    <n v="0"/>
    <n v="239427"/>
    <n v="0"/>
    <n v="0"/>
    <n v="0"/>
    <n v="422254"/>
    <n v="0"/>
    <n v="422254"/>
    <n v="0"/>
    <n v="0"/>
    <n v="0"/>
    <n v="1323362"/>
  </r>
  <r>
    <x v="267"/>
    <x v="2"/>
    <x v="2"/>
    <x v="8"/>
    <n v="0"/>
    <n v="0"/>
    <n v="0"/>
    <n v="0"/>
    <n v="0"/>
    <n v="0"/>
    <n v="156749"/>
    <n v="0"/>
    <n v="156749"/>
    <n v="0"/>
    <n v="0"/>
    <n v="0"/>
    <n v="313498"/>
  </r>
  <r>
    <x v="268"/>
    <x v="0"/>
    <x v="0"/>
    <x v="1"/>
    <n v="0"/>
    <n v="0"/>
    <n v="0"/>
    <n v="0"/>
    <n v="0"/>
    <n v="0"/>
    <n v="0"/>
    <n v="0"/>
    <n v="0"/>
    <n v="21760"/>
    <n v="0"/>
    <n v="21760"/>
    <n v="43520"/>
  </r>
  <r>
    <x v="269"/>
    <x v="1"/>
    <x v="1"/>
    <x v="6"/>
    <n v="15000"/>
    <n v="0"/>
    <n v="15000"/>
    <n v="0"/>
    <n v="0"/>
    <n v="0"/>
    <n v="0"/>
    <n v="0"/>
    <n v="0"/>
    <n v="0"/>
    <n v="0"/>
    <n v="0"/>
    <n v="30000"/>
  </r>
  <r>
    <x v="270"/>
    <x v="3"/>
    <x v="3"/>
    <x v="4"/>
    <n v="0"/>
    <n v="0"/>
    <n v="0"/>
    <n v="0"/>
    <n v="0"/>
    <n v="0"/>
    <n v="706208"/>
    <n v="0"/>
    <n v="706208"/>
    <n v="0"/>
    <n v="0"/>
    <n v="0"/>
    <n v="1412416"/>
  </r>
  <r>
    <x v="271"/>
    <x v="4"/>
    <x v="4"/>
    <x v="5"/>
    <n v="67712.89"/>
    <n v="0"/>
    <n v="67712.89"/>
    <n v="0"/>
    <n v="0"/>
    <n v="0"/>
    <n v="67712.89"/>
    <n v="0"/>
    <n v="67712.89"/>
    <n v="0"/>
    <m/>
    <n v="0"/>
    <n v="270851.56"/>
  </r>
  <r>
    <x v="272"/>
    <x v="0"/>
    <x v="0"/>
    <x v="1"/>
    <n v="0"/>
    <n v="0"/>
    <n v="0"/>
    <n v="0"/>
    <n v="0"/>
    <n v="0"/>
    <n v="0"/>
    <n v="0"/>
    <n v="0"/>
    <n v="725582"/>
    <m/>
    <n v="725582"/>
    <n v="1451164"/>
  </r>
  <r>
    <x v="273"/>
    <x v="0"/>
    <x v="0"/>
    <x v="1"/>
    <n v="0"/>
    <n v="0"/>
    <n v="0"/>
    <n v="0"/>
    <n v="0"/>
    <n v="0"/>
    <n v="0"/>
    <n v="0"/>
    <n v="0"/>
    <n v="36014"/>
    <n v="0"/>
    <n v="36014"/>
    <n v="72028"/>
  </r>
  <r>
    <x v="274"/>
    <x v="0"/>
    <x v="0"/>
    <x v="1"/>
    <n v="0"/>
    <n v="0"/>
    <n v="0"/>
    <n v="14593"/>
    <n v="0"/>
    <n v="14593"/>
    <n v="0"/>
    <n v="0"/>
    <n v="0"/>
    <n v="0"/>
    <n v="0"/>
    <n v="0"/>
    <n v="29186"/>
  </r>
  <r>
    <x v="275"/>
    <x v="1"/>
    <x v="1"/>
    <x v="6"/>
    <n v="4000"/>
    <n v="0"/>
    <n v="4000"/>
    <n v="0"/>
    <n v="0"/>
    <n v="0"/>
    <n v="0"/>
    <n v="0"/>
    <n v="0"/>
    <n v="0"/>
    <n v="0"/>
    <n v="0"/>
    <n v="8000"/>
  </r>
  <r>
    <x v="276"/>
    <x v="0"/>
    <x v="0"/>
    <x v="0"/>
    <n v="0"/>
    <n v="0"/>
    <n v="0"/>
    <n v="0"/>
    <n v="0"/>
    <n v="0"/>
    <n v="0"/>
    <n v="0"/>
    <n v="0"/>
    <n v="1737970"/>
    <n v="0"/>
    <n v="1737970"/>
    <n v="3475940"/>
  </r>
  <r>
    <x v="277"/>
    <x v="1"/>
    <x v="1"/>
    <x v="6"/>
    <n v="34000"/>
    <n v="0"/>
    <n v="34000"/>
    <n v="0"/>
    <n v="0"/>
    <n v="0"/>
    <n v="40000"/>
    <n v="0"/>
    <n v="40000"/>
    <n v="0"/>
    <n v="0"/>
    <n v="0"/>
    <n v="148000"/>
  </r>
  <r>
    <x v="278"/>
    <x v="3"/>
    <x v="3"/>
    <x v="57"/>
    <n v="3355331"/>
    <n v="0"/>
    <n v="3355331"/>
    <n v="0"/>
    <n v="0"/>
    <n v="0"/>
    <n v="0"/>
    <n v="0"/>
    <n v="0"/>
    <n v="0"/>
    <n v="0"/>
    <n v="0"/>
    <n v="6710662"/>
  </r>
  <r>
    <x v="279"/>
    <x v="0"/>
    <x v="0"/>
    <x v="1"/>
    <n v="0"/>
    <n v="0"/>
    <n v="0"/>
    <n v="236422"/>
    <n v="0"/>
    <n v="236422"/>
    <n v="0"/>
    <n v="0"/>
    <n v="0"/>
    <n v="0"/>
    <n v="0"/>
    <n v="0"/>
    <n v="472844"/>
  </r>
  <r>
    <x v="280"/>
    <x v="0"/>
    <x v="0"/>
    <x v="1"/>
    <n v="0"/>
    <n v="0"/>
    <n v="0"/>
    <n v="22370"/>
    <n v="0"/>
    <n v="22370"/>
    <n v="0"/>
    <n v="0"/>
    <n v="0"/>
    <n v="63650"/>
    <m/>
    <n v="63650"/>
    <n v="172040"/>
  </r>
  <r>
    <x v="281"/>
    <x v="2"/>
    <x v="2"/>
    <x v="21"/>
    <n v="185312"/>
    <n v="0"/>
    <n v="185312"/>
    <n v="0"/>
    <n v="0"/>
    <n v="0"/>
    <n v="52250"/>
    <n v="0"/>
    <n v="52250"/>
    <n v="0"/>
    <n v="0"/>
    <n v="0"/>
    <n v="475124"/>
  </r>
  <r>
    <x v="282"/>
    <x v="2"/>
    <x v="2"/>
    <x v="21"/>
    <n v="0"/>
    <n v="0"/>
    <n v="0"/>
    <n v="0"/>
    <n v="0"/>
    <n v="0"/>
    <n v="6132"/>
    <n v="0"/>
    <n v="6132"/>
    <n v="0"/>
    <n v="0"/>
    <n v="0"/>
    <n v="12264"/>
  </r>
  <r>
    <x v="283"/>
    <x v="2"/>
    <x v="2"/>
    <x v="21"/>
    <n v="0"/>
    <n v="0"/>
    <n v="0"/>
    <n v="0"/>
    <n v="0"/>
    <n v="0"/>
    <n v="1294449"/>
    <n v="0"/>
    <n v="1294449"/>
    <n v="0"/>
    <n v="0"/>
    <n v="0"/>
    <n v="2588898"/>
  </r>
  <r>
    <x v="284"/>
    <x v="2"/>
    <x v="2"/>
    <x v="18"/>
    <n v="53120"/>
    <n v="0"/>
    <n v="53120"/>
    <n v="0"/>
    <n v="0"/>
    <n v="0"/>
    <n v="28800"/>
    <n v="0"/>
    <n v="28800"/>
    <n v="0"/>
    <n v="0"/>
    <n v="0"/>
    <n v="163840"/>
  </r>
  <r>
    <x v="285"/>
    <x v="2"/>
    <x v="2"/>
    <x v="18"/>
    <n v="119340"/>
    <n v="0"/>
    <n v="119340"/>
    <n v="0"/>
    <n v="0"/>
    <n v="0"/>
    <n v="133780"/>
    <n v="0"/>
    <n v="133780"/>
    <n v="0"/>
    <n v="0"/>
    <n v="0"/>
    <n v="506240"/>
  </r>
  <r>
    <x v="286"/>
    <x v="0"/>
    <x v="0"/>
    <x v="1"/>
    <n v="0"/>
    <n v="0"/>
    <n v="0"/>
    <n v="4490"/>
    <n v="0"/>
    <n v="4490"/>
    <n v="0"/>
    <n v="0"/>
    <n v="0"/>
    <n v="10920"/>
    <n v="0"/>
    <n v="10920"/>
    <n v="30820"/>
  </r>
  <r>
    <x v="287"/>
    <x v="9"/>
    <x v="9"/>
    <x v="19"/>
    <n v="918177.38"/>
    <n v="0"/>
    <n v="918177.38"/>
    <n v="0"/>
    <n v="0"/>
    <n v="0"/>
    <n v="850872.03"/>
    <n v="0"/>
    <n v="850872.03"/>
    <n v="0"/>
    <n v="0"/>
    <n v="0"/>
    <n v="3538098.8200000003"/>
  </r>
  <r>
    <x v="288"/>
    <x v="2"/>
    <x v="2"/>
    <x v="18"/>
    <n v="202053"/>
    <n v="0"/>
    <n v="202053"/>
    <n v="0"/>
    <n v="0"/>
    <n v="0"/>
    <n v="201085"/>
    <n v="0"/>
    <n v="201085"/>
    <n v="0"/>
    <n v="0"/>
    <n v="0"/>
    <n v="806276"/>
  </r>
  <r>
    <x v="289"/>
    <x v="2"/>
    <x v="2"/>
    <x v="46"/>
    <n v="312000"/>
    <n v="0"/>
    <n v="312000"/>
    <n v="0"/>
    <n v="0"/>
    <n v="0"/>
    <n v="311400"/>
    <n v="0"/>
    <n v="311400"/>
    <n v="0"/>
    <n v="0"/>
    <n v="0"/>
    <n v="1246800"/>
  </r>
  <r>
    <x v="290"/>
    <x v="2"/>
    <x v="2"/>
    <x v="18"/>
    <n v="104473"/>
    <n v="0"/>
    <n v="104473"/>
    <n v="0"/>
    <n v="0"/>
    <n v="0"/>
    <n v="72462"/>
    <n v="0"/>
    <n v="72462"/>
    <n v="0"/>
    <n v="0"/>
    <n v="0"/>
    <n v="353870"/>
  </r>
  <r>
    <x v="291"/>
    <x v="4"/>
    <x v="4"/>
    <x v="5"/>
    <n v="25000"/>
    <n v="0"/>
    <n v="25000"/>
    <n v="0"/>
    <n v="0"/>
    <n v="0"/>
    <n v="50000"/>
    <n v="0"/>
    <n v="50000"/>
    <n v="0"/>
    <n v="0"/>
    <n v="0"/>
    <n v="150000"/>
  </r>
  <r>
    <x v="292"/>
    <x v="20"/>
    <x v="21"/>
    <x v="58"/>
    <n v="51184927.25"/>
    <n v="0"/>
    <n v="51184927.25"/>
    <n v="0"/>
    <n v="0"/>
    <n v="0"/>
    <n v="42797876"/>
    <n v="0"/>
    <n v="42797876"/>
    <n v="0"/>
    <n v="0"/>
    <n v="0"/>
    <n v="187965606.5"/>
  </r>
  <r>
    <x v="293"/>
    <x v="3"/>
    <x v="3"/>
    <x v="4"/>
    <n v="501681"/>
    <n v="0"/>
    <n v="501681"/>
    <n v="0"/>
    <n v="0"/>
    <n v="0"/>
    <n v="0"/>
    <n v="0"/>
    <n v="0"/>
    <n v="0"/>
    <n v="0"/>
    <n v="0"/>
    <n v="1003362"/>
  </r>
  <r>
    <x v="294"/>
    <x v="3"/>
    <x v="3"/>
    <x v="4"/>
    <n v="361758"/>
    <n v="0"/>
    <n v="361758"/>
    <n v="0"/>
    <n v="0"/>
    <n v="0"/>
    <n v="172244"/>
    <n v="0"/>
    <n v="172244"/>
    <n v="0"/>
    <n v="0"/>
    <n v="0"/>
    <n v="1068004"/>
  </r>
  <r>
    <x v="295"/>
    <x v="12"/>
    <x v="12"/>
    <x v="26"/>
    <n v="33607"/>
    <n v="0"/>
    <n v="33607"/>
    <n v="0"/>
    <n v="0"/>
    <n v="0"/>
    <n v="20190"/>
    <n v="0"/>
    <n v="20190"/>
    <n v="0"/>
    <n v="0"/>
    <n v="0"/>
    <n v="107594"/>
  </r>
  <r>
    <x v="296"/>
    <x v="12"/>
    <x v="12"/>
    <x v="26"/>
    <n v="2080"/>
    <n v="0"/>
    <n v="2080"/>
    <n v="0"/>
    <n v="0"/>
    <n v="0"/>
    <n v="0"/>
    <n v="0"/>
    <n v="0"/>
    <n v="0"/>
    <n v="0"/>
    <n v="0"/>
    <n v="4160"/>
  </r>
  <r>
    <x v="297"/>
    <x v="2"/>
    <x v="2"/>
    <x v="27"/>
    <n v="852133"/>
    <n v="0"/>
    <n v="852133"/>
    <n v="0"/>
    <n v="0"/>
    <n v="0"/>
    <n v="4231828"/>
    <n v="0"/>
    <n v="4231828"/>
    <n v="0"/>
    <n v="0"/>
    <n v="0"/>
    <n v="10167922"/>
  </r>
  <r>
    <x v="298"/>
    <x v="2"/>
    <x v="2"/>
    <x v="22"/>
    <n v="0"/>
    <n v="0"/>
    <n v="0"/>
    <n v="0"/>
    <n v="0"/>
    <n v="0"/>
    <n v="11016.55"/>
    <n v="0"/>
    <n v="11016.55"/>
    <n v="0"/>
    <n v="0"/>
    <n v="0"/>
    <n v="22033.1"/>
  </r>
  <r>
    <x v="299"/>
    <x v="2"/>
    <x v="2"/>
    <x v="59"/>
    <n v="500"/>
    <n v="0"/>
    <n v="500"/>
    <n v="0"/>
    <n v="0"/>
    <n v="0"/>
    <n v="0"/>
    <n v="0"/>
    <n v="0"/>
    <n v="0"/>
    <n v="0"/>
    <n v="0"/>
    <n v="1000"/>
  </r>
  <r>
    <x v="300"/>
    <x v="2"/>
    <x v="2"/>
    <x v="59"/>
    <n v="2650"/>
    <n v="0"/>
    <n v="2650"/>
    <n v="0"/>
    <n v="0"/>
    <n v="0"/>
    <n v="1550"/>
    <n v="0"/>
    <n v="1550"/>
    <n v="0"/>
    <n v="0"/>
    <n v="0"/>
    <n v="8400"/>
  </r>
  <r>
    <x v="301"/>
    <x v="2"/>
    <x v="2"/>
    <x v="60"/>
    <n v="0"/>
    <n v="0"/>
    <n v="0"/>
    <n v="0"/>
    <n v="0"/>
    <n v="0"/>
    <n v="150"/>
    <n v="0"/>
    <n v="150"/>
    <n v="0"/>
    <n v="0"/>
    <n v="0"/>
    <n v="300"/>
  </r>
  <r>
    <x v="302"/>
    <x v="2"/>
    <x v="2"/>
    <x v="60"/>
    <n v="0"/>
    <n v="0"/>
    <n v="0"/>
    <n v="0"/>
    <n v="0"/>
    <n v="0"/>
    <n v="1042"/>
    <n v="0"/>
    <n v="1042"/>
    <n v="0"/>
    <n v="0"/>
    <n v="0"/>
    <n v="2084"/>
  </r>
  <r>
    <x v="303"/>
    <x v="12"/>
    <x v="12"/>
    <x v="26"/>
    <n v="447749"/>
    <n v="0"/>
    <n v="447749"/>
    <n v="0"/>
    <n v="0"/>
    <n v="0"/>
    <n v="118292"/>
    <n v="0"/>
    <n v="118292"/>
    <n v="0"/>
    <n v="0"/>
    <n v="0"/>
    <n v="1132082"/>
  </r>
  <r>
    <x v="304"/>
    <x v="2"/>
    <x v="2"/>
    <x v="8"/>
    <n v="20000"/>
    <n v="0"/>
    <n v="20000"/>
    <n v="0"/>
    <n v="0"/>
    <n v="0"/>
    <n v="0"/>
    <n v="0"/>
    <n v="0"/>
    <n v="0"/>
    <n v="0"/>
    <n v="0"/>
    <n v="40000"/>
  </r>
  <r>
    <x v="305"/>
    <x v="2"/>
    <x v="2"/>
    <x v="29"/>
    <n v="0"/>
    <n v="0"/>
    <n v="0"/>
    <n v="0"/>
    <n v="0"/>
    <n v="0"/>
    <n v="60000"/>
    <n v="0"/>
    <n v="60000"/>
    <n v="0"/>
    <n v="0"/>
    <n v="0"/>
    <n v="120000"/>
  </r>
  <r>
    <x v="306"/>
    <x v="2"/>
    <x v="2"/>
    <x v="29"/>
    <n v="210000"/>
    <n v="0"/>
    <n v="210000"/>
    <n v="0"/>
    <n v="0"/>
    <n v="0"/>
    <n v="210000"/>
    <n v="0"/>
    <n v="210000"/>
    <n v="0"/>
    <n v="0"/>
    <n v="0"/>
    <n v="840000"/>
  </r>
  <r>
    <x v="307"/>
    <x v="18"/>
    <x v="19"/>
    <x v="38"/>
    <n v="0"/>
    <n v="0"/>
    <n v="0"/>
    <n v="497880"/>
    <n v="0"/>
    <n v="497880"/>
    <n v="0"/>
    <n v="0"/>
    <n v="0"/>
    <n v="535495"/>
    <n v="0"/>
    <n v="535495"/>
    <n v="2066750"/>
  </r>
  <r>
    <x v="308"/>
    <x v="2"/>
    <x v="2"/>
    <x v="59"/>
    <n v="7311227.8099999996"/>
    <n v="0"/>
    <n v="7311227.8099999996"/>
    <n v="0"/>
    <n v="0"/>
    <n v="0"/>
    <n v="6832723.8099999996"/>
    <n v="0"/>
    <n v="6832723.8099999996"/>
    <n v="0"/>
    <n v="0"/>
    <n v="0"/>
    <n v="28287903.239999998"/>
  </r>
  <r>
    <x v="309"/>
    <x v="3"/>
    <x v="3"/>
    <x v="4"/>
    <n v="361125"/>
    <n v="0"/>
    <n v="361125"/>
    <n v="0"/>
    <n v="0"/>
    <n v="0"/>
    <n v="0"/>
    <n v="0"/>
    <n v="0"/>
    <n v="0"/>
    <n v="0"/>
    <n v="0"/>
    <n v="722250"/>
  </r>
  <r>
    <x v="310"/>
    <x v="0"/>
    <x v="0"/>
    <x v="0"/>
    <n v="0"/>
    <n v="0"/>
    <n v="0"/>
    <n v="3172"/>
    <n v="0"/>
    <n v="3172"/>
    <n v="0"/>
    <n v="0"/>
    <n v="0"/>
    <n v="34438"/>
    <n v="0"/>
    <n v="34438"/>
    <n v="75220"/>
  </r>
  <r>
    <x v="311"/>
    <x v="0"/>
    <x v="0"/>
    <x v="1"/>
    <n v="0"/>
    <n v="0"/>
    <n v="0"/>
    <n v="274949"/>
    <n v="0"/>
    <n v="274949"/>
    <n v="0"/>
    <n v="0"/>
    <n v="0"/>
    <n v="244340"/>
    <n v="0"/>
    <n v="244340"/>
    <n v="1038578"/>
  </r>
  <r>
    <x v="312"/>
    <x v="0"/>
    <x v="0"/>
    <x v="1"/>
    <n v="0"/>
    <n v="0"/>
    <n v="0"/>
    <n v="423402"/>
    <n v="0"/>
    <n v="423402"/>
    <n v="0"/>
    <n v="0"/>
    <n v="0"/>
    <n v="407871"/>
    <n v="0"/>
    <n v="407871"/>
    <n v="1662546"/>
  </r>
  <r>
    <x v="313"/>
    <x v="0"/>
    <x v="0"/>
    <x v="1"/>
    <n v="0"/>
    <n v="0"/>
    <n v="0"/>
    <n v="523713"/>
    <n v="0"/>
    <n v="523713"/>
    <n v="0"/>
    <n v="0"/>
    <n v="0"/>
    <n v="544798"/>
    <n v="0"/>
    <n v="544798"/>
    <n v="2137022"/>
  </r>
  <r>
    <x v="314"/>
    <x v="2"/>
    <x v="2"/>
    <x v="21"/>
    <n v="0"/>
    <n v="0"/>
    <n v="0"/>
    <n v="0"/>
    <n v="0"/>
    <n v="0"/>
    <n v="75"/>
    <n v="0"/>
    <n v="75"/>
    <n v="0"/>
    <n v="0"/>
    <n v="0"/>
    <n v="150"/>
  </r>
  <r>
    <x v="315"/>
    <x v="2"/>
    <x v="2"/>
    <x v="21"/>
    <n v="0"/>
    <n v="0"/>
    <n v="0"/>
    <n v="0"/>
    <n v="0"/>
    <n v="0"/>
    <n v="3000"/>
    <n v="0"/>
    <n v="3000"/>
    <n v="0"/>
    <n v="0"/>
    <n v="0"/>
    <n v="6000"/>
  </r>
  <r>
    <x v="316"/>
    <x v="2"/>
    <x v="2"/>
    <x v="21"/>
    <n v="0"/>
    <n v="0"/>
    <n v="0"/>
    <n v="0"/>
    <n v="0"/>
    <n v="0"/>
    <n v="19678"/>
    <n v="0"/>
    <n v="19678"/>
    <n v="0"/>
    <n v="0"/>
    <n v="0"/>
    <n v="39356"/>
  </r>
  <r>
    <x v="317"/>
    <x v="2"/>
    <x v="2"/>
    <x v="21"/>
    <n v="0"/>
    <n v="0"/>
    <n v="0"/>
    <n v="0"/>
    <n v="0"/>
    <n v="0"/>
    <n v="75"/>
    <n v="0"/>
    <n v="75"/>
    <n v="0"/>
    <n v="0"/>
    <n v="0"/>
    <n v="150"/>
  </r>
  <r>
    <x v="318"/>
    <x v="2"/>
    <x v="2"/>
    <x v="21"/>
    <n v="281000"/>
    <n v="0"/>
    <n v="281000"/>
    <n v="0"/>
    <n v="0"/>
    <n v="0"/>
    <n v="33000"/>
    <n v="0"/>
    <n v="33000"/>
    <n v="0"/>
    <n v="0"/>
    <n v="0"/>
    <n v="628000"/>
  </r>
  <r>
    <x v="319"/>
    <x v="9"/>
    <x v="9"/>
    <x v="19"/>
    <n v="217294094.62"/>
    <n v="0"/>
    <n v="217294094.62"/>
    <n v="0"/>
    <n v="0"/>
    <n v="0"/>
    <n v="213053551.43000001"/>
    <n v="0"/>
    <n v="213053551.43000001"/>
    <n v="0"/>
    <n v="0"/>
    <n v="0"/>
    <n v="860695292.10000014"/>
  </r>
  <r>
    <x v="320"/>
    <x v="0"/>
    <x v="0"/>
    <x v="1"/>
    <n v="0"/>
    <n v="0"/>
    <n v="0"/>
    <n v="81000"/>
    <n v="0"/>
    <n v="81000"/>
    <n v="0"/>
    <n v="0"/>
    <n v="0"/>
    <n v="0"/>
    <n v="0"/>
    <n v="0"/>
    <n v="162000"/>
  </r>
  <r>
    <x v="321"/>
    <x v="2"/>
    <x v="2"/>
    <x v="8"/>
    <n v="161998"/>
    <n v="0"/>
    <n v="161998"/>
    <n v="0"/>
    <n v="0"/>
    <n v="0"/>
    <n v="90444"/>
    <n v="0"/>
    <n v="90444"/>
    <n v="0"/>
    <n v="0"/>
    <n v="0"/>
    <n v="504884"/>
  </r>
  <r>
    <x v="322"/>
    <x v="0"/>
    <x v="0"/>
    <x v="1"/>
    <n v="0"/>
    <n v="0"/>
    <n v="0"/>
    <n v="4956590"/>
    <n v="0"/>
    <n v="4956590"/>
    <n v="0"/>
    <n v="0"/>
    <n v="0"/>
    <n v="6010670"/>
    <n v="0"/>
    <n v="6010670"/>
    <n v="21934520"/>
  </r>
  <r>
    <x v="323"/>
    <x v="2"/>
    <x v="2"/>
    <x v="27"/>
    <n v="0"/>
    <n v="0"/>
    <n v="0"/>
    <n v="0"/>
    <n v="0"/>
    <n v="0"/>
    <n v="0"/>
    <m/>
    <n v="0"/>
    <n v="205269"/>
    <n v="0"/>
    <n v="205269"/>
    <n v="410538"/>
  </r>
  <r>
    <x v="324"/>
    <x v="3"/>
    <x v="3"/>
    <x v="4"/>
    <n v="213763"/>
    <n v="0"/>
    <n v="213763"/>
    <n v="0"/>
    <n v="0"/>
    <n v="0"/>
    <n v="0"/>
    <n v="0"/>
    <n v="0"/>
    <n v="0"/>
    <n v="0"/>
    <n v="0"/>
    <n v="427526"/>
  </r>
  <r>
    <x v="325"/>
    <x v="0"/>
    <x v="0"/>
    <x v="0"/>
    <n v="0"/>
    <n v="0"/>
    <n v="0"/>
    <n v="0"/>
    <n v="0"/>
    <n v="0"/>
    <n v="0"/>
    <n v="0"/>
    <n v="0"/>
    <n v="51416"/>
    <n v="0"/>
    <n v="51416"/>
    <n v="102832"/>
  </r>
  <r>
    <x v="326"/>
    <x v="1"/>
    <x v="1"/>
    <x v="6"/>
    <n v="0"/>
    <n v="0"/>
    <n v="0"/>
    <n v="0"/>
    <n v="0"/>
    <n v="0"/>
    <n v="23000"/>
    <n v="0"/>
    <n v="23000"/>
    <n v="0"/>
    <n v="0"/>
    <n v="0"/>
    <n v="46000"/>
  </r>
  <r>
    <x v="327"/>
    <x v="3"/>
    <x v="3"/>
    <x v="4"/>
    <n v="3013137"/>
    <n v="0"/>
    <n v="3013137"/>
    <n v="0"/>
    <n v="0"/>
    <n v="0"/>
    <n v="0"/>
    <n v="0"/>
    <n v="0"/>
    <n v="0"/>
    <n v="0"/>
    <n v="0"/>
    <n v="6026274"/>
  </r>
  <r>
    <x v="328"/>
    <x v="6"/>
    <x v="6"/>
    <x v="10"/>
    <n v="0"/>
    <n v="0"/>
    <n v="0"/>
    <n v="0"/>
    <n v="0"/>
    <n v="0"/>
    <n v="0"/>
    <n v="0"/>
    <n v="0"/>
    <n v="409053"/>
    <n v="0"/>
    <n v="409053"/>
    <n v="818106"/>
  </r>
  <r>
    <x v="329"/>
    <x v="0"/>
    <x v="0"/>
    <x v="0"/>
    <n v="0"/>
    <n v="0"/>
    <n v="0"/>
    <n v="36128"/>
    <n v="0"/>
    <n v="36128"/>
    <n v="0"/>
    <n v="0"/>
    <n v="0"/>
    <n v="72740"/>
    <n v="0"/>
    <n v="72740"/>
    <n v="217736"/>
  </r>
  <r>
    <x v="330"/>
    <x v="15"/>
    <x v="15"/>
    <x v="50"/>
    <n v="299526"/>
    <n v="0"/>
    <n v="299526"/>
    <n v="0"/>
    <n v="0"/>
    <n v="0"/>
    <n v="493128"/>
    <n v="0"/>
    <n v="493128"/>
    <n v="0"/>
    <n v="0"/>
    <n v="0"/>
    <n v="1585308"/>
  </r>
  <r>
    <x v="331"/>
    <x v="14"/>
    <x v="14"/>
    <x v="34"/>
    <n v="131953"/>
    <n v="0"/>
    <n v="131953"/>
    <n v="0"/>
    <n v="0"/>
    <n v="0"/>
    <n v="0"/>
    <n v="0"/>
    <n v="0"/>
    <n v="0"/>
    <n v="0"/>
    <n v="0"/>
    <n v="263906"/>
  </r>
  <r>
    <x v="332"/>
    <x v="3"/>
    <x v="3"/>
    <x v="4"/>
    <n v="0"/>
    <n v="0"/>
    <n v="0"/>
    <n v="0"/>
    <n v="0"/>
    <n v="0"/>
    <n v="0"/>
    <n v="0"/>
    <n v="0"/>
    <n v="7758"/>
    <n v="0"/>
    <n v="7758"/>
    <n v="15516"/>
  </r>
  <r>
    <x v="333"/>
    <x v="2"/>
    <x v="2"/>
    <x v="29"/>
    <n v="509760.8"/>
    <n v="0"/>
    <n v="509760.8"/>
    <n v="0"/>
    <n v="0"/>
    <n v="0"/>
    <n v="1259000"/>
    <n v="0"/>
    <n v="1259000"/>
    <n v="0"/>
    <n v="0"/>
    <n v="0"/>
    <n v="3537521.6"/>
  </r>
  <r>
    <x v="334"/>
    <x v="2"/>
    <x v="2"/>
    <x v="21"/>
    <n v="0"/>
    <n v="0"/>
    <n v="0"/>
    <n v="0"/>
    <n v="0"/>
    <n v="0"/>
    <n v="5000"/>
    <n v="0"/>
    <n v="5000"/>
    <n v="0"/>
    <n v="0"/>
    <n v="0"/>
    <n v="10000"/>
  </r>
  <r>
    <x v="335"/>
    <x v="10"/>
    <x v="10"/>
    <x v="61"/>
    <n v="0"/>
    <n v="0"/>
    <n v="0"/>
    <n v="112979368.51000001"/>
    <n v="0"/>
    <n v="112979368.51000001"/>
    <n v="0"/>
    <n v="0"/>
    <n v="0"/>
    <n v="54521566.57"/>
    <n v="0"/>
    <n v="54521566.57"/>
    <n v="335001870.16000003"/>
  </r>
  <r>
    <x v="336"/>
    <x v="7"/>
    <x v="7"/>
    <x v="62"/>
    <n v="0"/>
    <n v="0"/>
    <n v="0"/>
    <n v="18263"/>
    <n v="0"/>
    <n v="18263"/>
    <n v="0"/>
    <n v="0"/>
    <n v="0"/>
    <n v="0"/>
    <n v="0"/>
    <n v="0"/>
    <n v="36526"/>
  </r>
  <r>
    <x v="337"/>
    <x v="7"/>
    <x v="7"/>
    <x v="52"/>
    <n v="0"/>
    <n v="0"/>
    <n v="0"/>
    <n v="9443500"/>
    <n v="0"/>
    <n v="9443500"/>
    <n v="0"/>
    <n v="0"/>
    <n v="0"/>
    <n v="9443500"/>
    <n v="0"/>
    <n v="9443500"/>
    <n v="37774000"/>
  </r>
  <r>
    <x v="338"/>
    <x v="17"/>
    <x v="18"/>
    <x v="42"/>
    <n v="1171704"/>
    <n v="0"/>
    <n v="1171704"/>
    <n v="0"/>
    <n v="0"/>
    <n v="0"/>
    <n v="1175170"/>
    <n v="0"/>
    <n v="1175170"/>
    <n v="0"/>
    <n v="0"/>
    <n v="0"/>
    <n v="4693748"/>
  </r>
  <r>
    <x v="339"/>
    <x v="16"/>
    <x v="16"/>
    <x v="35"/>
    <n v="0"/>
    <n v="0"/>
    <n v="0"/>
    <n v="5136213"/>
    <n v="0"/>
    <n v="5136213"/>
    <n v="0"/>
    <n v="0"/>
    <n v="0"/>
    <n v="4285449"/>
    <m/>
    <n v="4285449"/>
    <n v="18843324"/>
  </r>
  <r>
    <x v="340"/>
    <x v="9"/>
    <x v="9"/>
    <x v="63"/>
    <n v="0"/>
    <n v="0"/>
    <n v="0"/>
    <n v="3321516"/>
    <n v="0"/>
    <n v="3321516"/>
    <n v="0"/>
    <n v="0"/>
    <n v="0"/>
    <n v="1578365"/>
    <n v="0"/>
    <n v="1578365"/>
    <n v="9799762"/>
  </r>
  <r>
    <x v="341"/>
    <x v="9"/>
    <x v="9"/>
    <x v="63"/>
    <n v="0"/>
    <n v="0"/>
    <n v="0"/>
    <n v="939164"/>
    <n v="0"/>
    <n v="939164"/>
    <n v="0"/>
    <n v="0"/>
    <n v="0"/>
    <n v="846428"/>
    <n v="0"/>
    <n v="846428"/>
    <n v="3571184"/>
  </r>
  <r>
    <x v="342"/>
    <x v="9"/>
    <x v="9"/>
    <x v="63"/>
    <n v="0"/>
    <n v="0"/>
    <n v="0"/>
    <n v="16647093"/>
    <n v="0"/>
    <n v="16647093"/>
    <n v="0"/>
    <n v="0"/>
    <n v="0"/>
    <n v="14761635"/>
    <n v="0"/>
    <n v="14761635"/>
    <n v="62817456"/>
  </r>
  <r>
    <x v="343"/>
    <x v="9"/>
    <x v="9"/>
    <x v="63"/>
    <n v="0"/>
    <n v="0"/>
    <n v="0"/>
    <n v="379192"/>
    <n v="0"/>
    <n v="379192"/>
    <n v="0"/>
    <n v="0"/>
    <n v="0"/>
    <n v="379192"/>
    <n v="0"/>
    <n v="379192"/>
    <n v="1516768"/>
  </r>
  <r>
    <x v="344"/>
    <x v="9"/>
    <x v="9"/>
    <x v="63"/>
    <n v="0"/>
    <n v="0"/>
    <n v="0"/>
    <n v="1478167"/>
    <n v="0"/>
    <n v="1478167"/>
    <n v="0"/>
    <n v="0"/>
    <n v="0"/>
    <n v="1420188"/>
    <n v="0"/>
    <n v="1420188"/>
    <n v="5796710"/>
  </r>
  <r>
    <x v="345"/>
    <x v="9"/>
    <x v="9"/>
    <x v="63"/>
    <n v="0"/>
    <n v="0"/>
    <n v="0"/>
    <n v="753819"/>
    <n v="0"/>
    <n v="753819"/>
    <n v="0"/>
    <n v="0"/>
    <n v="0"/>
    <n v="729742"/>
    <n v="0"/>
    <n v="729742"/>
    <n v="2967122"/>
  </r>
  <r>
    <x v="346"/>
    <x v="9"/>
    <x v="9"/>
    <x v="63"/>
    <n v="0"/>
    <n v="0"/>
    <n v="0"/>
    <n v="92431427"/>
    <n v="0"/>
    <n v="92431427"/>
    <n v="0"/>
    <n v="0"/>
    <n v="0"/>
    <n v="79329687"/>
    <n v="0"/>
    <n v="79329687"/>
    <n v="343522228"/>
  </r>
  <r>
    <x v="347"/>
    <x v="9"/>
    <x v="9"/>
    <x v="63"/>
    <n v="0"/>
    <n v="0"/>
    <n v="0"/>
    <n v="189571"/>
    <n v="0"/>
    <n v="189571"/>
    <n v="0"/>
    <n v="0"/>
    <n v="0"/>
    <n v="1238122"/>
    <n v="0"/>
    <n v="1238122"/>
    <n v="2855386"/>
  </r>
  <r>
    <x v="348"/>
    <x v="1"/>
    <x v="1"/>
    <x v="2"/>
    <n v="34285"/>
    <n v="0"/>
    <n v="34285"/>
    <n v="0"/>
    <n v="0"/>
    <n v="0"/>
    <n v="34285"/>
    <n v="0"/>
    <n v="34285"/>
    <n v="0"/>
    <n v="0"/>
    <n v="0"/>
    <n v="137140"/>
  </r>
  <r>
    <x v="349"/>
    <x v="1"/>
    <x v="1"/>
    <x v="2"/>
    <n v="17190"/>
    <n v="0"/>
    <n v="17190"/>
    <n v="0"/>
    <n v="0"/>
    <n v="0"/>
    <n v="0"/>
    <n v="0"/>
    <n v="0"/>
    <n v="0"/>
    <n v="0"/>
    <n v="0"/>
    <n v="34380"/>
  </r>
  <r>
    <x v="350"/>
    <x v="1"/>
    <x v="1"/>
    <x v="2"/>
    <n v="122153"/>
    <n v="0"/>
    <n v="122153"/>
    <n v="0"/>
    <n v="0"/>
    <n v="0"/>
    <n v="122153"/>
    <n v="0"/>
    <n v="122153"/>
    <n v="0"/>
    <n v="0"/>
    <n v="0"/>
    <n v="488612"/>
  </r>
  <r>
    <x v="351"/>
    <x v="1"/>
    <x v="1"/>
    <x v="2"/>
    <n v="139678"/>
    <n v="0"/>
    <n v="139678"/>
    <n v="0"/>
    <n v="0"/>
    <n v="0"/>
    <n v="139678"/>
    <n v="0"/>
    <n v="139678"/>
    <n v="0"/>
    <n v="0"/>
    <n v="0"/>
    <n v="558712"/>
  </r>
  <r>
    <x v="352"/>
    <x v="1"/>
    <x v="1"/>
    <x v="2"/>
    <n v="271788"/>
    <n v="0"/>
    <n v="271788"/>
    <n v="0"/>
    <n v="0"/>
    <n v="0"/>
    <n v="271788"/>
    <n v="0"/>
    <n v="271788"/>
    <n v="0"/>
    <n v="0"/>
    <n v="0"/>
    <n v="1087152"/>
  </r>
  <r>
    <x v="353"/>
    <x v="1"/>
    <x v="1"/>
    <x v="2"/>
    <n v="0"/>
    <n v="0"/>
    <n v="0"/>
    <n v="0"/>
    <n v="0"/>
    <n v="0"/>
    <n v="0"/>
    <n v="0"/>
    <n v="0"/>
    <n v="0"/>
    <n v="0"/>
    <n v="0"/>
    <n v="0"/>
  </r>
  <r>
    <x v="354"/>
    <x v="16"/>
    <x v="16"/>
    <x v="35"/>
    <n v="0"/>
    <n v="0"/>
    <n v="0"/>
    <n v="3212027.7"/>
    <n v="0"/>
    <n v="3212027.7"/>
    <n v="0"/>
    <n v="0"/>
    <n v="0"/>
    <n v="3142182.7"/>
    <n v="0"/>
    <n v="3142182.7"/>
    <n v="12708420.800000001"/>
  </r>
  <r>
    <x v="355"/>
    <x v="1"/>
    <x v="1"/>
    <x v="24"/>
    <n v="12216191"/>
    <n v="0"/>
    <n v="12216191"/>
    <n v="0"/>
    <n v="0"/>
    <n v="0"/>
    <n v="10799666"/>
    <n v="0"/>
    <n v="10799666"/>
    <n v="0"/>
    <n v="0"/>
    <n v="0"/>
    <n v="46031714"/>
  </r>
  <r>
    <x v="356"/>
    <x v="0"/>
    <x v="0"/>
    <x v="0"/>
    <n v="0"/>
    <n v="0"/>
    <n v="0"/>
    <n v="0"/>
    <n v="0"/>
    <n v="0"/>
    <n v="0"/>
    <n v="0"/>
    <n v="0"/>
    <n v="83195"/>
    <n v="0"/>
    <n v="83195"/>
    <n v="166390"/>
  </r>
  <r>
    <x v="357"/>
    <x v="0"/>
    <x v="0"/>
    <x v="0"/>
    <n v="0"/>
    <n v="0"/>
    <n v="0"/>
    <n v="26432"/>
    <n v="0"/>
    <n v="26432"/>
    <n v="0"/>
    <n v="0"/>
    <n v="0"/>
    <n v="49210"/>
    <n v="0"/>
    <n v="49210"/>
    <n v="151284"/>
  </r>
  <r>
    <x v="358"/>
    <x v="12"/>
    <x v="12"/>
    <x v="26"/>
    <n v="610238"/>
    <n v="0"/>
    <n v="610238"/>
    <n v="0"/>
    <n v="0"/>
    <n v="0"/>
    <n v="2499845"/>
    <n v="0"/>
    <n v="2499845"/>
    <n v="0"/>
    <n v="0"/>
    <n v="0"/>
    <n v="6220166"/>
  </r>
  <r>
    <x v="359"/>
    <x v="2"/>
    <x v="2"/>
    <x v="27"/>
    <n v="9875204.9800000004"/>
    <n v="0"/>
    <n v="9875204.9800000004"/>
    <n v="0"/>
    <n v="0"/>
    <n v="0"/>
    <n v="7296726"/>
    <n v="0"/>
    <n v="7296726"/>
    <n v="0"/>
    <n v="0"/>
    <n v="0"/>
    <n v="34343861.960000001"/>
  </r>
  <r>
    <x v="360"/>
    <x v="12"/>
    <x v="12"/>
    <x v="26"/>
    <n v="570000"/>
    <n v="0"/>
    <n v="570000"/>
    <n v="0"/>
    <n v="0"/>
    <n v="0"/>
    <n v="5508.97"/>
    <n v="0"/>
    <n v="5508.97"/>
    <n v="0"/>
    <n v="0"/>
    <n v="0"/>
    <n v="1151017.94"/>
  </r>
  <r>
    <x v="361"/>
    <x v="2"/>
    <x v="2"/>
    <x v="59"/>
    <n v="0"/>
    <n v="0"/>
    <n v="0"/>
    <n v="0"/>
    <n v="0"/>
    <n v="0"/>
    <n v="2736"/>
    <n v="0"/>
    <n v="2736"/>
    <n v="0"/>
    <n v="0"/>
    <n v="0"/>
    <n v="5472"/>
  </r>
  <r>
    <x v="362"/>
    <x v="12"/>
    <x v="12"/>
    <x v="26"/>
    <n v="107000"/>
    <n v="0"/>
    <n v="107000"/>
    <n v="0"/>
    <n v="0"/>
    <n v="0"/>
    <n v="2400"/>
    <n v="0"/>
    <n v="2400"/>
    <n v="0"/>
    <n v="0"/>
    <n v="0"/>
    <n v="218800"/>
  </r>
  <r>
    <x v="363"/>
    <x v="12"/>
    <x v="12"/>
    <x v="26"/>
    <n v="741466"/>
    <n v="0"/>
    <n v="741466"/>
    <n v="0"/>
    <n v="0"/>
    <n v="0"/>
    <n v="4142911"/>
    <n v="0"/>
    <n v="4142911"/>
    <n v="0"/>
    <n v="0"/>
    <n v="0"/>
    <n v="9768754"/>
  </r>
  <r>
    <x v="364"/>
    <x v="2"/>
    <x v="2"/>
    <x v="64"/>
    <n v="9155866.8599999994"/>
    <n v="0"/>
    <n v="9155866.8599999994"/>
    <n v="0"/>
    <n v="0"/>
    <n v="0"/>
    <n v="8891025.9000000004"/>
    <n v="0"/>
    <n v="8891025.9000000004"/>
    <n v="0"/>
    <n v="0"/>
    <n v="0"/>
    <n v="36093785.519999996"/>
  </r>
  <r>
    <x v="365"/>
    <x v="0"/>
    <x v="0"/>
    <x v="1"/>
    <n v="5079"/>
    <n v="0"/>
    <n v="5079"/>
    <n v="0"/>
    <n v="0"/>
    <n v="0"/>
    <n v="0"/>
    <n v="0"/>
    <n v="0"/>
    <n v="0"/>
    <n v="0"/>
    <n v="0"/>
    <n v="10158"/>
  </r>
  <r>
    <x v="366"/>
    <x v="6"/>
    <x v="6"/>
    <x v="10"/>
    <n v="0"/>
    <n v="0"/>
    <n v="0"/>
    <n v="0"/>
    <n v="0"/>
    <n v="0"/>
    <n v="0"/>
    <n v="0"/>
    <n v="0"/>
    <n v="9980"/>
    <n v="0"/>
    <n v="9980"/>
    <n v="19960"/>
  </r>
  <r>
    <x v="367"/>
    <x v="3"/>
    <x v="3"/>
    <x v="4"/>
    <n v="553617"/>
    <n v="0"/>
    <n v="553617"/>
    <n v="0"/>
    <n v="0"/>
    <n v="0"/>
    <n v="0"/>
    <n v="0"/>
    <n v="0"/>
    <n v="0"/>
    <n v="0"/>
    <n v="0"/>
    <n v="1107234"/>
  </r>
  <r>
    <x v="368"/>
    <x v="3"/>
    <x v="3"/>
    <x v="4"/>
    <n v="2558371"/>
    <n v="0"/>
    <n v="2558371"/>
    <n v="0"/>
    <n v="0"/>
    <n v="0"/>
    <n v="0"/>
    <n v="0"/>
    <n v="0"/>
    <n v="0"/>
    <n v="0"/>
    <n v="0"/>
    <n v="5116742"/>
  </r>
  <r>
    <x v="369"/>
    <x v="3"/>
    <x v="3"/>
    <x v="4"/>
    <n v="22988933"/>
    <n v="0"/>
    <n v="22988933"/>
    <n v="0"/>
    <n v="0"/>
    <n v="0"/>
    <n v="20109440"/>
    <n v="0"/>
    <n v="20109440"/>
    <n v="0"/>
    <n v="0"/>
    <n v="0"/>
    <n v="86196746"/>
  </r>
  <r>
    <x v="370"/>
    <x v="0"/>
    <x v="0"/>
    <x v="0"/>
    <n v="0"/>
    <n v="0"/>
    <n v="0"/>
    <n v="8142548"/>
    <n v="0"/>
    <n v="8142548"/>
    <n v="0"/>
    <n v="0"/>
    <n v="0"/>
    <n v="6496829.5"/>
    <n v="0"/>
    <n v="6496829.5"/>
    <n v="29278755"/>
  </r>
  <r>
    <x v="371"/>
    <x v="1"/>
    <x v="1"/>
    <x v="6"/>
    <n v="0"/>
    <n v="0"/>
    <n v="0"/>
    <n v="0"/>
    <n v="0"/>
    <n v="0"/>
    <n v="3000"/>
    <n v="0"/>
    <n v="3000"/>
    <n v="0"/>
    <n v="0"/>
    <n v="0"/>
    <n v="6000"/>
  </r>
  <r>
    <x v="372"/>
    <x v="0"/>
    <x v="0"/>
    <x v="0"/>
    <n v="0"/>
    <n v="0"/>
    <n v="0"/>
    <n v="1495"/>
    <n v="0"/>
    <n v="1495"/>
    <n v="0"/>
    <n v="0"/>
    <n v="0"/>
    <n v="1495"/>
    <n v="0"/>
    <n v="1495"/>
    <n v="5980"/>
  </r>
  <r>
    <x v="373"/>
    <x v="0"/>
    <x v="0"/>
    <x v="0"/>
    <n v="0"/>
    <n v="0"/>
    <n v="0"/>
    <n v="0"/>
    <n v="0"/>
    <n v="0"/>
    <n v="0"/>
    <n v="0"/>
    <n v="0"/>
    <n v="51975"/>
    <n v="0"/>
    <n v="51975"/>
    <n v="103950"/>
  </r>
  <r>
    <x v="374"/>
    <x v="2"/>
    <x v="2"/>
    <x v="27"/>
    <n v="0"/>
    <n v="0"/>
    <n v="0"/>
    <n v="0"/>
    <n v="0"/>
    <n v="0"/>
    <n v="0"/>
    <n v="0"/>
    <n v="0"/>
    <n v="38712"/>
    <n v="0"/>
    <n v="38712"/>
    <n v="77424"/>
  </r>
  <r>
    <x v="375"/>
    <x v="2"/>
    <x v="2"/>
    <x v="21"/>
    <n v="154260"/>
    <n v="0"/>
    <n v="154260"/>
    <n v="0"/>
    <n v="0"/>
    <n v="0"/>
    <n v="154717"/>
    <n v="0"/>
    <n v="154717"/>
    <n v="0"/>
    <n v="0"/>
    <n v="0"/>
    <n v="617954"/>
  </r>
  <r>
    <x v="376"/>
    <x v="0"/>
    <x v="0"/>
    <x v="0"/>
    <n v="0"/>
    <n v="0"/>
    <n v="0"/>
    <n v="0"/>
    <n v="0"/>
    <n v="0"/>
    <n v="0"/>
    <n v="0"/>
    <n v="0"/>
    <n v="55544"/>
    <n v="0"/>
    <n v="55544"/>
    <n v="111088"/>
  </r>
  <r>
    <x v="377"/>
    <x v="1"/>
    <x v="1"/>
    <x v="6"/>
    <n v="2000"/>
    <n v="0"/>
    <n v="2000"/>
    <n v="0"/>
    <n v="0"/>
    <n v="0"/>
    <n v="0"/>
    <n v="0"/>
    <n v="0"/>
    <n v="0"/>
    <n v="0"/>
    <n v="0"/>
    <n v="4000"/>
  </r>
  <r>
    <x v="378"/>
    <x v="2"/>
    <x v="2"/>
    <x v="65"/>
    <n v="4167429"/>
    <n v="0"/>
    <n v="4167429"/>
    <n v="0"/>
    <n v="0"/>
    <n v="0"/>
    <n v="4086715"/>
    <n v="0"/>
    <n v="4086715"/>
    <n v="0"/>
    <n v="0"/>
    <n v="0"/>
    <n v="16508288"/>
  </r>
  <r>
    <x v="379"/>
    <x v="1"/>
    <x v="1"/>
    <x v="25"/>
    <n v="0"/>
    <n v="0"/>
    <n v="0"/>
    <n v="100502.93"/>
    <n v="0"/>
    <n v="100502.93"/>
    <n v="0"/>
    <n v="0"/>
    <n v="0"/>
    <n v="30618.93"/>
    <n v="0"/>
    <n v="30618.93"/>
    <n v="262243.71999999997"/>
  </r>
  <r>
    <x v="380"/>
    <x v="1"/>
    <x v="1"/>
    <x v="25"/>
    <n v="486323.88"/>
    <n v="0"/>
    <n v="486323.88"/>
    <n v="0"/>
    <n v="0"/>
    <n v="0"/>
    <n v="0"/>
    <n v="0"/>
    <n v="0"/>
    <n v="38005.120000000003"/>
    <n v="0"/>
    <n v="38005.120000000003"/>
    <n v="1048658"/>
  </r>
  <r>
    <x v="381"/>
    <x v="1"/>
    <x v="1"/>
    <x v="25"/>
    <n v="0"/>
    <n v="0"/>
    <n v="0"/>
    <n v="0"/>
    <n v="0"/>
    <n v="0"/>
    <n v="0"/>
    <n v="0"/>
    <n v="0"/>
    <n v="0"/>
    <n v="0"/>
    <n v="0"/>
    <n v="0"/>
  </r>
  <r>
    <x v="382"/>
    <x v="1"/>
    <x v="1"/>
    <x v="25"/>
    <n v="0"/>
    <n v="0"/>
    <n v="0"/>
    <n v="80872.929999999993"/>
    <n v="0"/>
    <n v="80872.929999999993"/>
    <n v="0"/>
    <n v="0"/>
    <n v="0"/>
    <n v="30618.93"/>
    <n v="0"/>
    <n v="30618.93"/>
    <n v="222983.71999999997"/>
  </r>
  <r>
    <x v="383"/>
    <x v="1"/>
    <x v="1"/>
    <x v="25"/>
    <n v="0"/>
    <n v="0"/>
    <n v="0"/>
    <n v="0"/>
    <n v="0"/>
    <n v="0"/>
    <n v="0"/>
    <n v="0"/>
    <n v="0"/>
    <n v="0"/>
    <n v="0"/>
    <n v="0"/>
    <n v="0"/>
  </r>
  <r>
    <x v="384"/>
    <x v="1"/>
    <x v="1"/>
    <x v="25"/>
    <n v="0"/>
    <n v="0"/>
    <n v="0"/>
    <n v="0"/>
    <n v="0"/>
    <n v="0"/>
    <n v="0"/>
    <n v="0"/>
    <n v="0"/>
    <n v="0"/>
    <n v="0"/>
    <n v="0"/>
    <n v="0"/>
  </r>
  <r>
    <x v="385"/>
    <x v="1"/>
    <x v="1"/>
    <x v="25"/>
    <n v="0"/>
    <n v="0"/>
    <n v="0"/>
    <n v="0"/>
    <n v="0"/>
    <n v="0"/>
    <n v="0"/>
    <n v="0"/>
    <n v="0"/>
    <n v="0"/>
    <n v="0"/>
    <n v="0"/>
    <n v="0"/>
  </r>
  <r>
    <x v="386"/>
    <x v="0"/>
    <x v="0"/>
    <x v="1"/>
    <n v="0"/>
    <n v="0"/>
    <n v="0"/>
    <n v="51508"/>
    <n v="0"/>
    <n v="51508"/>
    <n v="0"/>
    <n v="0"/>
    <n v="0"/>
    <n v="0"/>
    <n v="0"/>
    <n v="0"/>
    <n v="103016"/>
  </r>
  <r>
    <x v="387"/>
    <x v="17"/>
    <x v="18"/>
    <x v="37"/>
    <n v="4800000"/>
    <n v="0"/>
    <n v="4800000"/>
    <n v="0"/>
    <n v="0"/>
    <n v="0"/>
    <n v="4573846"/>
    <n v="0"/>
    <n v="4573846"/>
    <n v="0"/>
    <n v="0"/>
    <n v="0"/>
    <n v="18747692"/>
  </r>
  <r>
    <x v="388"/>
    <x v="2"/>
    <x v="2"/>
    <x v="8"/>
    <n v="319093"/>
    <n v="0"/>
    <n v="319093"/>
    <n v="0"/>
    <n v="0"/>
    <n v="0"/>
    <n v="236391"/>
    <n v="0"/>
    <n v="236391"/>
    <n v="0"/>
    <n v="0"/>
    <n v="0"/>
    <n v="1110968"/>
  </r>
  <r>
    <x v="389"/>
    <x v="2"/>
    <x v="2"/>
    <x v="66"/>
    <n v="954273.6"/>
    <n v="0"/>
    <n v="954273.6"/>
    <n v="0"/>
    <n v="0"/>
    <n v="0"/>
    <n v="2155685.31"/>
    <n v="0"/>
    <n v="2155685.31"/>
    <n v="0"/>
    <n v="0"/>
    <n v="0"/>
    <n v="6219917.8200000003"/>
  </r>
  <r>
    <x v="390"/>
    <x v="2"/>
    <x v="2"/>
    <x v="60"/>
    <n v="409071.26"/>
    <n v="0"/>
    <n v="409071.26"/>
    <n v="0"/>
    <n v="0"/>
    <n v="0"/>
    <n v="591277.98"/>
    <n v="0"/>
    <n v="591277.98"/>
    <n v="0"/>
    <n v="0"/>
    <n v="0"/>
    <n v="2000698.48"/>
  </r>
  <r>
    <x v="391"/>
    <x v="10"/>
    <x v="10"/>
    <x v="20"/>
    <n v="0"/>
    <n v="0"/>
    <n v="0"/>
    <n v="50905004"/>
    <n v="0"/>
    <n v="50905004"/>
    <n v="0"/>
    <n v="0"/>
    <n v="0"/>
    <n v="50905004"/>
    <m/>
    <n v="50905004"/>
    <n v="203620016"/>
  </r>
  <r>
    <x v="392"/>
    <x v="2"/>
    <x v="2"/>
    <x v="21"/>
    <n v="24500"/>
    <n v="0"/>
    <n v="24500"/>
    <n v="0"/>
    <n v="0"/>
    <n v="0"/>
    <n v="62500"/>
    <n v="0"/>
    <n v="62500"/>
    <n v="0"/>
    <n v="0"/>
    <n v="0"/>
    <n v="174000"/>
  </r>
  <r>
    <x v="393"/>
    <x v="0"/>
    <x v="0"/>
    <x v="0"/>
    <n v="0"/>
    <n v="0"/>
    <n v="0"/>
    <n v="1127420"/>
    <n v="0"/>
    <n v="1127420"/>
    <n v="0"/>
    <n v="0"/>
    <n v="0"/>
    <n v="187572"/>
    <n v="0"/>
    <n v="187572"/>
    <n v="2629984"/>
  </r>
  <r>
    <x v="394"/>
    <x v="2"/>
    <x v="2"/>
    <x v="8"/>
    <n v="0"/>
    <n v="0"/>
    <n v="0"/>
    <n v="487.23"/>
    <n v="0"/>
    <n v="487.23"/>
    <n v="0"/>
    <n v="0"/>
    <n v="0"/>
    <n v="313.79000000000002"/>
    <n v="0"/>
    <n v="313.79000000000002"/>
    <n v="1602.04"/>
  </r>
  <r>
    <x v="395"/>
    <x v="11"/>
    <x v="11"/>
    <x v="67"/>
    <n v="84224"/>
    <n v="-770.5"/>
    <n v="83453.5"/>
    <n v="0"/>
    <n v="0"/>
    <n v="0"/>
    <n v="0"/>
    <n v="192300"/>
    <n v="192300"/>
    <n v="0"/>
    <n v="0"/>
    <n v="0"/>
    <n v="551507"/>
  </r>
  <r>
    <x v="396"/>
    <x v="11"/>
    <x v="11"/>
    <x v="68"/>
    <n v="49097"/>
    <n v="0"/>
    <n v="49097"/>
    <n v="0"/>
    <n v="0"/>
    <n v="0"/>
    <n v="13126.5"/>
    <n v="0"/>
    <n v="13126.5"/>
    <n v="0"/>
    <n v="0"/>
    <n v="0"/>
    <n v="124447"/>
  </r>
  <r>
    <x v="397"/>
    <x v="5"/>
    <x v="5"/>
    <x v="69"/>
    <n v="0"/>
    <n v="0"/>
    <n v="0"/>
    <n v="7150762"/>
    <n v="0"/>
    <n v="7150762"/>
    <n v="0"/>
    <n v="0"/>
    <n v="0"/>
    <n v="10474175"/>
    <n v="0"/>
    <n v="10474175"/>
    <n v="35249874"/>
  </r>
  <r>
    <x v="398"/>
    <x v="5"/>
    <x v="5"/>
    <x v="69"/>
    <n v="0"/>
    <n v="0"/>
    <n v="0"/>
    <n v="695244"/>
    <n v="0"/>
    <n v="695244"/>
    <n v="0"/>
    <n v="0"/>
    <n v="0"/>
    <n v="8698000"/>
    <n v="0"/>
    <n v="8698000"/>
    <n v="18786488"/>
  </r>
  <r>
    <x v="399"/>
    <x v="5"/>
    <x v="5"/>
    <x v="69"/>
    <n v="0"/>
    <n v="0"/>
    <n v="0"/>
    <n v="5601686"/>
    <n v="0"/>
    <n v="5601686"/>
    <n v="0"/>
    <n v="0"/>
    <n v="0"/>
    <n v="8001231"/>
    <n v="0"/>
    <n v="8001231"/>
    <n v="27205834"/>
  </r>
  <r>
    <x v="400"/>
    <x v="5"/>
    <x v="5"/>
    <x v="69"/>
    <n v="0"/>
    <n v="0"/>
    <n v="0"/>
    <n v="253317"/>
    <n v="0"/>
    <n v="253317"/>
    <n v="0"/>
    <n v="0"/>
    <n v="0"/>
    <n v="3252350"/>
    <n v="0"/>
    <n v="3252350"/>
    <n v="7011334"/>
  </r>
  <r>
    <x v="401"/>
    <x v="0"/>
    <x v="0"/>
    <x v="0"/>
    <n v="0"/>
    <n v="0"/>
    <n v="0"/>
    <n v="0"/>
    <n v="0"/>
    <n v="0"/>
    <n v="0"/>
    <n v="0"/>
    <n v="0"/>
    <n v="23718"/>
    <n v="0"/>
    <n v="23718"/>
    <n v="47436"/>
  </r>
  <r>
    <x v="402"/>
    <x v="1"/>
    <x v="1"/>
    <x v="6"/>
    <n v="0"/>
    <n v="0"/>
    <n v="0"/>
    <n v="0"/>
    <n v="0"/>
    <n v="0"/>
    <n v="3000"/>
    <n v="0"/>
    <n v="3000"/>
    <n v="0"/>
    <n v="0"/>
    <n v="0"/>
    <n v="6000"/>
  </r>
  <r>
    <x v="403"/>
    <x v="3"/>
    <x v="3"/>
    <x v="4"/>
    <n v="392445"/>
    <n v="0"/>
    <n v="392445"/>
    <n v="0"/>
    <n v="0"/>
    <n v="0"/>
    <n v="815743.5"/>
    <n v="0"/>
    <n v="815743.5"/>
    <n v="0"/>
    <n v="0"/>
    <n v="0"/>
    <n v="2416377"/>
  </r>
  <r>
    <x v="404"/>
    <x v="0"/>
    <x v="0"/>
    <x v="0"/>
    <n v="0"/>
    <n v="0"/>
    <n v="0"/>
    <n v="0"/>
    <n v="0"/>
    <n v="0"/>
    <n v="0"/>
    <n v="0"/>
    <n v="0"/>
    <n v="3622"/>
    <n v="0"/>
    <n v="3622"/>
    <n v="7244"/>
  </r>
  <r>
    <x v="405"/>
    <x v="0"/>
    <x v="0"/>
    <x v="0"/>
    <n v="0"/>
    <n v="0"/>
    <n v="0"/>
    <n v="879467"/>
    <n v="0"/>
    <n v="879467"/>
    <n v="0"/>
    <n v="0"/>
    <n v="0"/>
    <n v="658176"/>
    <n v="0"/>
    <n v="658176"/>
    <n v="3075286"/>
  </r>
  <r>
    <x v="406"/>
    <x v="6"/>
    <x v="6"/>
    <x v="70"/>
    <n v="0"/>
    <n v="0"/>
    <n v="0"/>
    <n v="803704"/>
    <n v="0"/>
    <n v="803704"/>
    <n v="0"/>
    <n v="0"/>
    <n v="0"/>
    <n v="790876"/>
    <n v="0"/>
    <n v="790876"/>
    <n v="3189160"/>
  </r>
  <r>
    <x v="407"/>
    <x v="17"/>
    <x v="18"/>
    <x v="37"/>
    <n v="203540"/>
    <n v="0"/>
    <n v="203540"/>
    <n v="0"/>
    <n v="0"/>
    <n v="0"/>
    <n v="0"/>
    <n v="0"/>
    <n v="0"/>
    <n v="0"/>
    <n v="0"/>
    <n v="0"/>
    <n v="407080"/>
  </r>
  <r>
    <x v="408"/>
    <x v="17"/>
    <x v="18"/>
    <x v="37"/>
    <n v="1626242"/>
    <n v="0"/>
    <n v="1626242"/>
    <n v="0"/>
    <n v="0"/>
    <n v="0"/>
    <n v="2090961"/>
    <n v="0"/>
    <n v="2090961"/>
    <n v="0"/>
    <n v="0"/>
    <n v="0"/>
    <n v="7434406"/>
  </r>
  <r>
    <x v="409"/>
    <x v="17"/>
    <x v="18"/>
    <x v="37"/>
    <n v="2273038"/>
    <n v="0"/>
    <n v="2273038"/>
    <n v="0"/>
    <n v="0"/>
    <n v="0"/>
    <n v="2405654"/>
    <n v="0"/>
    <n v="2405654"/>
    <n v="0"/>
    <n v="0"/>
    <n v="0"/>
    <n v="9357384"/>
  </r>
  <r>
    <x v="410"/>
    <x v="17"/>
    <x v="18"/>
    <x v="37"/>
    <n v="8511335"/>
    <n v="0"/>
    <n v="8511335"/>
    <n v="0"/>
    <n v="0"/>
    <n v="0"/>
    <n v="8079596"/>
    <n v="0"/>
    <n v="8079596"/>
    <n v="0"/>
    <n v="0"/>
    <n v="0"/>
    <n v="33181862"/>
  </r>
  <r>
    <x v="411"/>
    <x v="18"/>
    <x v="19"/>
    <x v="38"/>
    <n v="0"/>
    <n v="0"/>
    <n v="0"/>
    <n v="755246"/>
    <n v="0"/>
    <n v="755246"/>
    <n v="0"/>
    <n v="0"/>
    <n v="0"/>
    <n v="1026721.38"/>
    <n v="0"/>
    <n v="1026721.38"/>
    <n v="3563934.76"/>
  </r>
  <r>
    <x v="412"/>
    <x v="18"/>
    <x v="19"/>
    <x v="38"/>
    <n v="0"/>
    <n v="0"/>
    <n v="0"/>
    <n v="609002318.29999995"/>
    <n v="0"/>
    <n v="609002318.29999995"/>
    <n v="0"/>
    <n v="0"/>
    <n v="0"/>
    <n v="681697693.20000005"/>
    <n v="0"/>
    <n v="681697693.20000005"/>
    <n v="2581400023"/>
  </r>
  <r>
    <x v="413"/>
    <x v="18"/>
    <x v="19"/>
    <x v="38"/>
    <n v="0"/>
    <n v="0"/>
    <n v="0"/>
    <n v="77113878.299999997"/>
    <n v="0"/>
    <n v="77113878.299999997"/>
    <n v="0"/>
    <n v="0"/>
    <n v="0"/>
    <n v="106464666.95"/>
    <n v="0"/>
    <n v="106464666.95"/>
    <n v="367157090.5"/>
  </r>
  <r>
    <x v="414"/>
    <x v="18"/>
    <x v="19"/>
    <x v="38"/>
    <n v="245586"/>
    <n v="0"/>
    <n v="245586"/>
    <n v="0"/>
    <n v="0"/>
    <n v="0"/>
    <n v="0"/>
    <n v="0"/>
    <n v="0"/>
    <n v="0"/>
    <n v="0"/>
    <n v="0"/>
    <n v="491172"/>
  </r>
  <r>
    <x v="415"/>
    <x v="2"/>
    <x v="2"/>
    <x v="21"/>
    <n v="23653"/>
    <n v="0"/>
    <n v="23653"/>
    <n v="0"/>
    <n v="0"/>
    <n v="0"/>
    <n v="0"/>
    <n v="0"/>
    <n v="0"/>
    <n v="0"/>
    <n v="0"/>
    <n v="0"/>
    <n v="47306"/>
  </r>
  <r>
    <x v="416"/>
    <x v="5"/>
    <x v="5"/>
    <x v="7"/>
    <n v="0"/>
    <n v="0"/>
    <n v="0"/>
    <n v="874676"/>
    <n v="0"/>
    <n v="874676"/>
    <n v="0"/>
    <n v="0"/>
    <n v="0"/>
    <n v="800000"/>
    <n v="0"/>
    <n v="800000"/>
    <n v="3349352"/>
  </r>
  <r>
    <x v="417"/>
    <x v="0"/>
    <x v="0"/>
    <x v="1"/>
    <n v="0"/>
    <n v="0"/>
    <n v="0"/>
    <n v="2600"/>
    <n v="0"/>
    <n v="2600"/>
    <n v="0"/>
    <n v="0"/>
    <n v="0"/>
    <n v="0"/>
    <n v="0"/>
    <n v="0"/>
    <n v="5200"/>
  </r>
  <r>
    <x v="418"/>
    <x v="1"/>
    <x v="1"/>
    <x v="6"/>
    <n v="0"/>
    <n v="0"/>
    <n v="0"/>
    <n v="0"/>
    <n v="0"/>
    <n v="0"/>
    <n v="21000"/>
    <n v="0"/>
    <n v="21000"/>
    <n v="0"/>
    <n v="0"/>
    <n v="0"/>
    <n v="42000"/>
  </r>
  <r>
    <x v="419"/>
    <x v="0"/>
    <x v="0"/>
    <x v="0"/>
    <n v="0"/>
    <n v="0"/>
    <n v="0"/>
    <n v="85602"/>
    <n v="0"/>
    <n v="85602"/>
    <n v="0"/>
    <n v="0"/>
    <n v="0"/>
    <n v="48316"/>
    <n v="0"/>
    <n v="48316"/>
    <n v="267836"/>
  </r>
  <r>
    <x v="420"/>
    <x v="5"/>
    <x v="5"/>
    <x v="7"/>
    <n v="0"/>
    <n v="0"/>
    <n v="0"/>
    <n v="1640020"/>
    <n v="0"/>
    <n v="1640020"/>
    <n v="0"/>
    <n v="0"/>
    <n v="0"/>
    <n v="1500000"/>
    <n v="0"/>
    <n v="1500000"/>
    <n v="6280040"/>
  </r>
  <r>
    <x v="421"/>
    <x v="0"/>
    <x v="0"/>
    <x v="0"/>
    <n v="0"/>
    <n v="0"/>
    <n v="0"/>
    <n v="0"/>
    <n v="0"/>
    <n v="0"/>
    <n v="1120"/>
    <n v="0"/>
    <n v="1120"/>
    <n v="0"/>
    <n v="0"/>
    <n v="0"/>
    <n v="2240"/>
  </r>
  <r>
    <x v="422"/>
    <x v="10"/>
    <x v="10"/>
    <x v="71"/>
    <n v="0"/>
    <n v="0"/>
    <n v="0"/>
    <n v="8664946"/>
    <n v="0"/>
    <n v="8664946"/>
    <n v="0"/>
    <n v="0"/>
    <n v="0"/>
    <n v="8664946"/>
    <n v="0"/>
    <n v="8664946"/>
    <n v="34659784"/>
  </r>
  <r>
    <x v="423"/>
    <x v="2"/>
    <x v="2"/>
    <x v="72"/>
    <n v="689707"/>
    <n v="0"/>
    <n v="689707"/>
    <n v="0"/>
    <n v="0"/>
    <n v="0"/>
    <n v="693091"/>
    <n v="0"/>
    <n v="693091"/>
    <n v="0"/>
    <n v="0"/>
    <n v="0"/>
    <n v="2765596"/>
  </r>
  <r>
    <x v="424"/>
    <x v="18"/>
    <x v="19"/>
    <x v="38"/>
    <n v="0"/>
    <n v="0"/>
    <n v="0"/>
    <n v="21264856"/>
    <n v="0"/>
    <n v="21264856"/>
    <n v="0"/>
    <n v="0"/>
    <n v="0"/>
    <n v="35395001"/>
    <n v="0"/>
    <n v="35395001"/>
    <n v="113319714"/>
  </r>
  <r>
    <x v="425"/>
    <x v="1"/>
    <x v="1"/>
    <x v="25"/>
    <n v="0"/>
    <n v="0"/>
    <n v="0"/>
    <n v="0"/>
    <n v="0"/>
    <n v="0"/>
    <n v="0"/>
    <n v="0"/>
    <n v="0"/>
    <n v="0"/>
    <n v="0"/>
    <n v="0"/>
    <n v="0"/>
  </r>
  <r>
    <x v="426"/>
    <x v="1"/>
    <x v="1"/>
    <x v="25"/>
    <n v="0"/>
    <n v="0"/>
    <n v="0"/>
    <n v="0"/>
    <n v="0"/>
    <n v="0"/>
    <n v="0"/>
    <n v="0"/>
    <n v="0"/>
    <n v="2167884.58"/>
    <n v="0"/>
    <n v="2167884.58"/>
    <n v="4335769.16"/>
  </r>
  <r>
    <x v="427"/>
    <x v="1"/>
    <x v="1"/>
    <x v="25"/>
    <n v="0"/>
    <n v="0"/>
    <n v="0"/>
    <n v="449757.14"/>
    <n v="0"/>
    <n v="449757.14"/>
    <n v="0"/>
    <n v="0"/>
    <n v="0"/>
    <n v="0"/>
    <n v="0"/>
    <n v="0"/>
    <n v="899514.28"/>
  </r>
  <r>
    <x v="428"/>
    <x v="1"/>
    <x v="1"/>
    <x v="25"/>
    <n v="0"/>
    <n v="0"/>
    <n v="0"/>
    <n v="0"/>
    <n v="0"/>
    <n v="0"/>
    <n v="0"/>
    <n v="0"/>
    <n v="0"/>
    <n v="106736.25"/>
    <n v="0"/>
    <n v="106736.25"/>
    <n v="213472.5"/>
  </r>
  <r>
    <x v="429"/>
    <x v="0"/>
    <x v="0"/>
    <x v="0"/>
    <n v="0"/>
    <n v="0"/>
    <n v="0"/>
    <n v="0"/>
    <n v="0"/>
    <n v="0"/>
    <n v="0"/>
    <n v="0"/>
    <n v="0"/>
    <n v="32400"/>
    <n v="0"/>
    <n v="32400"/>
    <n v="64800"/>
  </r>
  <r>
    <x v="430"/>
    <x v="1"/>
    <x v="1"/>
    <x v="6"/>
    <n v="0"/>
    <n v="0"/>
    <n v="0"/>
    <n v="0"/>
    <n v="0"/>
    <n v="0"/>
    <n v="2852"/>
    <n v="0"/>
    <n v="2852"/>
    <n v="0"/>
    <n v="0"/>
    <n v="0"/>
    <n v="5704"/>
  </r>
  <r>
    <x v="431"/>
    <x v="0"/>
    <x v="0"/>
    <x v="0"/>
    <n v="0"/>
    <n v="0"/>
    <n v="0"/>
    <n v="0"/>
    <n v="0"/>
    <n v="0"/>
    <n v="0"/>
    <n v="0"/>
    <n v="0"/>
    <n v="303693"/>
    <n v="0"/>
    <n v="303693"/>
    <n v="607386"/>
  </r>
  <r>
    <x v="432"/>
    <x v="3"/>
    <x v="3"/>
    <x v="4"/>
    <n v="1153357"/>
    <n v="0"/>
    <n v="1153357"/>
    <n v="0"/>
    <n v="0"/>
    <n v="0"/>
    <n v="0"/>
    <n v="0"/>
    <n v="0"/>
    <n v="0"/>
    <n v="0"/>
    <n v="0"/>
    <n v="2306714"/>
  </r>
  <r>
    <x v="433"/>
    <x v="3"/>
    <x v="3"/>
    <x v="4"/>
    <n v="0"/>
    <n v="0"/>
    <n v="0"/>
    <n v="0"/>
    <n v="0"/>
    <n v="0"/>
    <n v="1378113"/>
    <n v="0"/>
    <n v="1378113"/>
    <n v="0"/>
    <n v="0"/>
    <n v="0"/>
    <n v="2756226"/>
  </r>
  <r>
    <x v="434"/>
    <x v="0"/>
    <x v="0"/>
    <x v="1"/>
    <n v="0"/>
    <n v="0"/>
    <n v="0"/>
    <n v="0"/>
    <n v="0"/>
    <n v="0"/>
    <n v="4076"/>
    <n v="0"/>
    <n v="4076"/>
    <n v="0"/>
    <n v="0"/>
    <n v="0"/>
    <n v="8152"/>
  </r>
  <r>
    <x v="435"/>
    <x v="0"/>
    <x v="0"/>
    <x v="1"/>
    <n v="5552"/>
    <n v="0"/>
    <n v="5552"/>
    <n v="0"/>
    <n v="0"/>
    <n v="0"/>
    <n v="0"/>
    <n v="0"/>
    <n v="0"/>
    <n v="0"/>
    <n v="0"/>
    <n v="0"/>
    <n v="11104"/>
  </r>
  <r>
    <x v="436"/>
    <x v="0"/>
    <x v="0"/>
    <x v="0"/>
    <n v="0"/>
    <n v="0"/>
    <n v="0"/>
    <n v="0"/>
    <n v="0"/>
    <n v="0"/>
    <n v="0"/>
    <n v="0"/>
    <n v="0"/>
    <n v="8510361.5"/>
    <n v="0"/>
    <n v="8510361.5"/>
    <n v="17020723"/>
  </r>
  <r>
    <x v="437"/>
    <x v="0"/>
    <x v="0"/>
    <x v="0"/>
    <n v="0"/>
    <n v="0"/>
    <n v="0"/>
    <n v="137081"/>
    <n v="0"/>
    <n v="137081"/>
    <n v="0"/>
    <n v="0"/>
    <n v="0"/>
    <n v="127269"/>
    <n v="0"/>
    <n v="127269"/>
    <n v="528700"/>
  </r>
  <r>
    <x v="438"/>
    <x v="2"/>
    <x v="2"/>
    <x v="8"/>
    <n v="0"/>
    <n v="0"/>
    <n v="0"/>
    <n v="77175"/>
    <n v="0"/>
    <n v="77175"/>
    <n v="0"/>
    <n v="0"/>
    <n v="0"/>
    <n v="0"/>
    <n v="0"/>
    <n v="0"/>
    <n v="154350"/>
  </r>
  <r>
    <x v="439"/>
    <x v="17"/>
    <x v="18"/>
    <x v="37"/>
    <n v="140595"/>
    <n v="0"/>
    <n v="140595"/>
    <n v="0"/>
    <n v="0"/>
    <n v="0"/>
    <n v="0"/>
    <n v="0"/>
    <n v="0"/>
    <n v="13878"/>
    <n v="0"/>
    <n v="13878"/>
    <n v="308946"/>
  </r>
  <r>
    <x v="440"/>
    <x v="3"/>
    <x v="3"/>
    <x v="4"/>
    <n v="2982040"/>
    <n v="0"/>
    <n v="2982040"/>
    <n v="0"/>
    <n v="0"/>
    <n v="0"/>
    <n v="2024393"/>
    <n v="0"/>
    <n v="2024393"/>
    <n v="0"/>
    <n v="0"/>
    <n v="0"/>
    <n v="10012866"/>
  </r>
  <r>
    <x v="441"/>
    <x v="3"/>
    <x v="3"/>
    <x v="4"/>
    <n v="108452"/>
    <n v="0"/>
    <n v="108452"/>
    <n v="0"/>
    <n v="0"/>
    <n v="0"/>
    <n v="0"/>
    <n v="0"/>
    <n v="0"/>
    <n v="0"/>
    <n v="0"/>
    <n v="0"/>
    <n v="216904"/>
  </r>
  <r>
    <x v="442"/>
    <x v="0"/>
    <x v="0"/>
    <x v="0"/>
    <n v="0"/>
    <n v="0"/>
    <n v="0"/>
    <n v="9167"/>
    <n v="0"/>
    <n v="9167"/>
    <n v="0"/>
    <n v="0"/>
    <n v="0"/>
    <n v="0"/>
    <n v="0"/>
    <n v="0"/>
    <n v="18334"/>
  </r>
  <r>
    <x v="443"/>
    <x v="0"/>
    <x v="0"/>
    <x v="0"/>
    <n v="0"/>
    <n v="0"/>
    <n v="0"/>
    <n v="3584869"/>
    <n v="0"/>
    <n v="3584869"/>
    <n v="0"/>
    <n v="0"/>
    <n v="0"/>
    <n v="2288867"/>
    <n v="0"/>
    <n v="2288867"/>
    <n v="11747472"/>
  </r>
  <r>
    <x v="444"/>
    <x v="3"/>
    <x v="3"/>
    <x v="16"/>
    <n v="0"/>
    <n v="0"/>
    <n v="0"/>
    <n v="0"/>
    <n v="0"/>
    <n v="0"/>
    <n v="1443909.5"/>
    <n v="-1443909.5"/>
    <n v="0"/>
    <n v="0"/>
    <n v="0"/>
    <n v="0"/>
    <n v="0"/>
  </r>
  <r>
    <x v="445"/>
    <x v="3"/>
    <x v="3"/>
    <x v="4"/>
    <n v="0"/>
    <n v="0"/>
    <n v="0"/>
    <n v="0"/>
    <n v="0"/>
    <n v="0"/>
    <n v="175720"/>
    <n v="0"/>
    <n v="175720"/>
    <n v="0"/>
    <n v="0"/>
    <n v="0"/>
    <n v="351440"/>
  </r>
  <r>
    <x v="446"/>
    <x v="3"/>
    <x v="3"/>
    <x v="4"/>
    <n v="0"/>
    <n v="0"/>
    <n v="0"/>
    <n v="0"/>
    <n v="0"/>
    <n v="0"/>
    <n v="398247"/>
    <n v="0"/>
    <n v="398247"/>
    <n v="0"/>
    <n v="0"/>
    <n v="0"/>
    <n v="796494"/>
  </r>
  <r>
    <x v="447"/>
    <x v="0"/>
    <x v="0"/>
    <x v="0"/>
    <n v="0"/>
    <n v="0"/>
    <n v="0"/>
    <n v="145449"/>
    <n v="0"/>
    <n v="145449"/>
    <n v="0"/>
    <n v="0"/>
    <n v="0"/>
    <n v="194140"/>
    <n v="0"/>
    <n v="194140"/>
    <n v="679178"/>
  </r>
  <r>
    <x v="448"/>
    <x v="2"/>
    <x v="2"/>
    <x v="8"/>
    <n v="374511.51"/>
    <n v="0"/>
    <n v="374511.51"/>
    <n v="0"/>
    <n v="0"/>
    <n v="0"/>
    <n v="0"/>
    <n v="0"/>
    <n v="0"/>
    <n v="0"/>
    <n v="0"/>
    <n v="0"/>
    <n v="749023.02"/>
  </r>
  <r>
    <x v="449"/>
    <x v="18"/>
    <x v="19"/>
    <x v="38"/>
    <n v="100400"/>
    <n v="0"/>
    <n v="100400"/>
    <n v="0"/>
    <n v="0"/>
    <n v="0"/>
    <n v="116242.2"/>
    <n v="0"/>
    <n v="116242.2"/>
    <n v="0"/>
    <n v="0"/>
    <n v="0"/>
    <n v="433284.4"/>
  </r>
  <r>
    <x v="450"/>
    <x v="5"/>
    <x v="5"/>
    <x v="7"/>
    <n v="0"/>
    <n v="0"/>
    <n v="0"/>
    <n v="1749357"/>
    <n v="0"/>
    <n v="1749357"/>
    <n v="0"/>
    <n v="0"/>
    <n v="0"/>
    <n v="1600001"/>
    <n v="0"/>
    <n v="1600001"/>
    <n v="6698716"/>
  </r>
  <r>
    <x v="451"/>
    <x v="0"/>
    <x v="0"/>
    <x v="0"/>
    <n v="0"/>
    <n v="0"/>
    <n v="0"/>
    <n v="16225"/>
    <n v="0"/>
    <n v="16225"/>
    <n v="0"/>
    <n v="0"/>
    <n v="0"/>
    <n v="0"/>
    <n v="0"/>
    <n v="0"/>
    <n v="32450"/>
  </r>
  <r>
    <x v="452"/>
    <x v="3"/>
    <x v="3"/>
    <x v="16"/>
    <n v="0"/>
    <n v="0"/>
    <n v="0"/>
    <n v="0"/>
    <n v="0"/>
    <n v="0"/>
    <n v="1247028"/>
    <n v="-1247028"/>
    <n v="0"/>
    <n v="0"/>
    <n v="0"/>
    <n v="0"/>
    <n v="0"/>
  </r>
  <r>
    <x v="453"/>
    <x v="6"/>
    <x v="6"/>
    <x v="30"/>
    <n v="0"/>
    <n v="0"/>
    <n v="0"/>
    <n v="10225"/>
    <n v="0"/>
    <n v="10225"/>
    <n v="0"/>
    <n v="0"/>
    <n v="0"/>
    <n v="10825"/>
    <n v="0"/>
    <n v="10825"/>
    <n v="42100"/>
  </r>
  <r>
    <x v="454"/>
    <x v="17"/>
    <x v="18"/>
    <x v="56"/>
    <n v="0"/>
    <n v="0"/>
    <n v="0"/>
    <n v="0"/>
    <n v="0"/>
    <n v="0"/>
    <n v="26048"/>
    <n v="0"/>
    <n v="26048"/>
    <n v="0"/>
    <n v="0"/>
    <n v="0"/>
    <n v="52096"/>
  </r>
  <r>
    <x v="455"/>
    <x v="21"/>
    <x v="22"/>
    <x v="73"/>
    <n v="0"/>
    <n v="0"/>
    <n v="0"/>
    <n v="61843530.590000004"/>
    <n v="0"/>
    <n v="61843530.590000004"/>
    <n v="0"/>
    <n v="0"/>
    <n v="0"/>
    <n v="55675684.390000001"/>
    <n v="0"/>
    <n v="55675684.390000001"/>
    <n v="235038429.95999998"/>
  </r>
  <r>
    <x v="456"/>
    <x v="2"/>
    <x v="2"/>
    <x v="27"/>
    <n v="5558970"/>
    <n v="0"/>
    <n v="5558970"/>
    <n v="0"/>
    <n v="0"/>
    <n v="0"/>
    <n v="5413556"/>
    <n v="0"/>
    <n v="5413556"/>
    <n v="0"/>
    <n v="0"/>
    <n v="0"/>
    <n v="21945052"/>
  </r>
  <r>
    <x v="457"/>
    <x v="2"/>
    <x v="2"/>
    <x v="74"/>
    <n v="237277.27"/>
    <n v="0"/>
    <n v="237277.27"/>
    <n v="0"/>
    <n v="0"/>
    <n v="0"/>
    <n v="202817.87"/>
    <n v="0"/>
    <n v="202817.87"/>
    <n v="0"/>
    <n v="0"/>
    <n v="0"/>
    <n v="880190.27999999991"/>
  </r>
  <r>
    <x v="458"/>
    <x v="2"/>
    <x v="2"/>
    <x v="12"/>
    <n v="275000"/>
    <n v="0"/>
    <n v="275000"/>
    <n v="0"/>
    <n v="0"/>
    <n v="0"/>
    <n v="250000"/>
    <n v="0"/>
    <n v="250000"/>
    <n v="0"/>
    <n v="0"/>
    <n v="0"/>
    <n v="1050000"/>
  </r>
  <r>
    <x v="459"/>
    <x v="8"/>
    <x v="8"/>
    <x v="15"/>
    <n v="0"/>
    <n v="0"/>
    <n v="0"/>
    <n v="0"/>
    <n v="0"/>
    <n v="0"/>
    <n v="20000"/>
    <n v="0"/>
    <n v="20000"/>
    <n v="0"/>
    <n v="0"/>
    <n v="0"/>
    <n v="40000"/>
  </r>
  <r>
    <x v="460"/>
    <x v="1"/>
    <x v="1"/>
    <x v="6"/>
    <n v="73000"/>
    <n v="0"/>
    <n v="73000"/>
    <n v="0"/>
    <n v="0"/>
    <n v="0"/>
    <n v="5000"/>
    <n v="0"/>
    <n v="5000"/>
    <n v="0"/>
    <n v="0"/>
    <n v="0"/>
    <n v="156000"/>
  </r>
  <r>
    <x v="461"/>
    <x v="0"/>
    <x v="0"/>
    <x v="0"/>
    <n v="0"/>
    <n v="0"/>
    <n v="0"/>
    <n v="64723"/>
    <n v="0"/>
    <n v="64723"/>
    <n v="0"/>
    <n v="0"/>
    <n v="0"/>
    <n v="192538"/>
    <n v="0"/>
    <n v="192538"/>
    <n v="514522"/>
  </r>
  <r>
    <x v="462"/>
    <x v="5"/>
    <x v="5"/>
    <x v="75"/>
    <n v="0"/>
    <n v="0"/>
    <n v="0"/>
    <n v="0"/>
    <n v="0"/>
    <n v="0"/>
    <n v="0"/>
    <n v="0"/>
    <n v="0"/>
    <n v="114949"/>
    <n v="0"/>
    <n v="114949"/>
    <n v="229898"/>
  </r>
  <r>
    <x v="463"/>
    <x v="5"/>
    <x v="5"/>
    <x v="75"/>
    <n v="0"/>
    <n v="0"/>
    <n v="0"/>
    <n v="32212"/>
    <n v="0"/>
    <n v="32212"/>
    <n v="0"/>
    <n v="0"/>
    <n v="0"/>
    <n v="459137"/>
    <n v="0"/>
    <n v="459137"/>
    <n v="982698"/>
  </r>
  <r>
    <x v="464"/>
    <x v="5"/>
    <x v="5"/>
    <x v="75"/>
    <n v="0"/>
    <n v="0"/>
    <n v="0"/>
    <n v="98185"/>
    <n v="0"/>
    <n v="98185"/>
    <n v="0"/>
    <n v="0"/>
    <n v="0"/>
    <n v="484174"/>
    <n v="0"/>
    <n v="484174"/>
    <n v="1164718"/>
  </r>
  <r>
    <x v="465"/>
    <x v="3"/>
    <x v="3"/>
    <x v="4"/>
    <n v="213539"/>
    <n v="0"/>
    <n v="213539"/>
    <n v="0"/>
    <n v="0"/>
    <n v="0"/>
    <n v="0"/>
    <n v="0"/>
    <n v="0"/>
    <n v="0"/>
    <n v="0"/>
    <n v="0"/>
    <n v="427078"/>
  </r>
  <r>
    <x v="466"/>
    <x v="2"/>
    <x v="2"/>
    <x v="8"/>
    <n v="199368.3"/>
    <n v="0"/>
    <n v="199368.3"/>
    <n v="0"/>
    <n v="0"/>
    <n v="0"/>
    <n v="0"/>
    <n v="0"/>
    <n v="0"/>
    <n v="63097.05"/>
    <n v="0"/>
    <n v="63097.05"/>
    <n v="524930.69999999995"/>
  </r>
  <r>
    <x v="467"/>
    <x v="3"/>
    <x v="3"/>
    <x v="4"/>
    <n v="1168754"/>
    <n v="0"/>
    <n v="1168754"/>
    <n v="0"/>
    <n v="0"/>
    <n v="0"/>
    <n v="1029518"/>
    <n v="0"/>
    <n v="1029518"/>
    <n v="0"/>
    <n v="0"/>
    <n v="0"/>
    <n v="4396544"/>
  </r>
  <r>
    <x v="468"/>
    <x v="1"/>
    <x v="1"/>
    <x v="6"/>
    <n v="22000"/>
    <n v="0"/>
    <n v="22000"/>
    <n v="0"/>
    <n v="0"/>
    <n v="0"/>
    <n v="0"/>
    <n v="0"/>
    <n v="0"/>
    <n v="0"/>
    <n v="0"/>
    <n v="0"/>
    <n v="44000"/>
  </r>
  <r>
    <x v="469"/>
    <x v="1"/>
    <x v="1"/>
    <x v="6"/>
    <n v="0"/>
    <n v="0"/>
    <n v="0"/>
    <n v="0"/>
    <n v="0"/>
    <n v="0"/>
    <n v="12000"/>
    <n v="0"/>
    <n v="12000"/>
    <n v="0"/>
    <n v="0"/>
    <n v="0"/>
    <n v="24000"/>
  </r>
  <r>
    <x v="470"/>
    <x v="3"/>
    <x v="3"/>
    <x v="4"/>
    <n v="0"/>
    <n v="0"/>
    <n v="0"/>
    <n v="0"/>
    <n v="0"/>
    <n v="0"/>
    <n v="235492"/>
    <n v="0"/>
    <n v="235492"/>
    <n v="0"/>
    <n v="0"/>
    <n v="0"/>
    <n v="470984"/>
  </r>
  <r>
    <x v="471"/>
    <x v="0"/>
    <x v="0"/>
    <x v="0"/>
    <n v="0"/>
    <n v="0"/>
    <n v="0"/>
    <n v="351168"/>
    <n v="0"/>
    <n v="351168"/>
    <n v="0"/>
    <n v="0"/>
    <n v="0"/>
    <n v="267860"/>
    <n v="0"/>
    <n v="267860"/>
    <n v="1238056"/>
  </r>
  <r>
    <x v="472"/>
    <x v="1"/>
    <x v="1"/>
    <x v="2"/>
    <n v="0"/>
    <n v="0"/>
    <n v="0"/>
    <n v="0"/>
    <n v="0"/>
    <n v="0"/>
    <n v="19841"/>
    <n v="0"/>
    <n v="19841"/>
    <n v="0"/>
    <n v="0"/>
    <n v="0"/>
    <n v="39682"/>
  </r>
  <r>
    <x v="473"/>
    <x v="6"/>
    <x v="6"/>
    <x v="30"/>
    <n v="0"/>
    <n v="0"/>
    <n v="0"/>
    <n v="101044"/>
    <n v="0"/>
    <n v="101044"/>
    <n v="0"/>
    <n v="0"/>
    <n v="0"/>
    <n v="82885"/>
    <n v="0"/>
    <n v="82885"/>
    <n v="367858"/>
  </r>
  <r>
    <x v="474"/>
    <x v="1"/>
    <x v="1"/>
    <x v="2"/>
    <n v="15292"/>
    <n v="0"/>
    <n v="15292"/>
    <n v="0"/>
    <n v="0"/>
    <n v="0"/>
    <n v="0"/>
    <n v="0"/>
    <n v="0"/>
    <n v="0"/>
    <n v="0"/>
    <n v="0"/>
    <n v="30584"/>
  </r>
  <r>
    <x v="475"/>
    <x v="1"/>
    <x v="1"/>
    <x v="2"/>
    <n v="44002"/>
    <n v="0"/>
    <n v="44002"/>
    <n v="0"/>
    <n v="0"/>
    <n v="0"/>
    <n v="0"/>
    <n v="0"/>
    <n v="0"/>
    <n v="0"/>
    <n v="0"/>
    <n v="0"/>
    <n v="88004"/>
  </r>
  <r>
    <x v="476"/>
    <x v="2"/>
    <x v="2"/>
    <x v="21"/>
    <n v="21"/>
    <n v="0"/>
    <n v="21"/>
    <n v="0"/>
    <n v="0"/>
    <n v="0"/>
    <n v="0"/>
    <n v="0"/>
    <n v="0"/>
    <n v="0"/>
    <n v="0"/>
    <n v="0"/>
    <n v="42"/>
  </r>
  <r>
    <x v="477"/>
    <x v="1"/>
    <x v="1"/>
    <x v="2"/>
    <n v="0"/>
    <n v="0"/>
    <n v="0"/>
    <n v="0"/>
    <n v="0"/>
    <n v="0"/>
    <n v="4717"/>
    <n v="0"/>
    <n v="4717"/>
    <n v="0"/>
    <n v="0"/>
    <n v="0"/>
    <n v="9434"/>
  </r>
  <r>
    <x v="478"/>
    <x v="6"/>
    <x v="6"/>
    <x v="30"/>
    <n v="0"/>
    <n v="0"/>
    <n v="0"/>
    <n v="3900"/>
    <n v="0"/>
    <n v="3900"/>
    <n v="0"/>
    <n v="0"/>
    <n v="0"/>
    <n v="3900"/>
    <n v="0"/>
    <n v="3900"/>
    <n v="15600"/>
  </r>
  <r>
    <x v="479"/>
    <x v="6"/>
    <x v="6"/>
    <x v="30"/>
    <n v="0"/>
    <n v="0"/>
    <n v="0"/>
    <n v="5038"/>
    <n v="0"/>
    <n v="5038"/>
    <n v="0"/>
    <n v="0"/>
    <n v="0"/>
    <n v="6255"/>
    <n v="0"/>
    <n v="6255"/>
    <n v="22586"/>
  </r>
  <r>
    <x v="480"/>
    <x v="6"/>
    <x v="6"/>
    <x v="30"/>
    <n v="0"/>
    <n v="0"/>
    <n v="0"/>
    <n v="1902"/>
    <n v="0"/>
    <n v="1902"/>
    <n v="0"/>
    <n v="0"/>
    <n v="0"/>
    <n v="15973"/>
    <n v="0"/>
    <n v="15973"/>
    <n v="35750"/>
  </r>
  <r>
    <x v="481"/>
    <x v="6"/>
    <x v="6"/>
    <x v="30"/>
    <n v="0"/>
    <n v="0"/>
    <n v="0"/>
    <n v="16393.04"/>
    <n v="0"/>
    <n v="16393.04"/>
    <n v="0"/>
    <n v="0"/>
    <n v="0"/>
    <n v="9720.0400000000009"/>
    <n v="0"/>
    <n v="9720.0400000000009"/>
    <n v="52226.16"/>
  </r>
  <r>
    <x v="482"/>
    <x v="6"/>
    <x v="6"/>
    <x v="30"/>
    <n v="0"/>
    <n v="0"/>
    <n v="0"/>
    <n v="47856"/>
    <n v="0"/>
    <n v="47856"/>
    <n v="0"/>
    <n v="0"/>
    <n v="0"/>
    <n v="63570"/>
    <n v="0"/>
    <n v="63570"/>
    <n v="222852"/>
  </r>
  <r>
    <x v="483"/>
    <x v="6"/>
    <x v="6"/>
    <x v="30"/>
    <n v="0"/>
    <n v="0"/>
    <n v="0"/>
    <n v="1977"/>
    <n v="0"/>
    <n v="1977"/>
    <n v="0"/>
    <n v="0"/>
    <n v="0"/>
    <n v="1977"/>
    <n v="0"/>
    <n v="1977"/>
    <n v="7908"/>
  </r>
  <r>
    <x v="484"/>
    <x v="6"/>
    <x v="6"/>
    <x v="30"/>
    <n v="0"/>
    <n v="0"/>
    <n v="0"/>
    <n v="51303.4"/>
    <n v="0"/>
    <n v="51303.4"/>
    <n v="0"/>
    <n v="0"/>
    <n v="0"/>
    <n v="814.4"/>
    <n v="0"/>
    <n v="814.4"/>
    <n v="104235.59999999999"/>
  </r>
  <r>
    <x v="485"/>
    <x v="6"/>
    <x v="6"/>
    <x v="30"/>
    <n v="0"/>
    <n v="0"/>
    <n v="0"/>
    <n v="92000"/>
    <n v="0"/>
    <n v="92000"/>
    <n v="0"/>
    <n v="0"/>
    <n v="0"/>
    <n v="122000"/>
    <n v="0"/>
    <n v="122000"/>
    <n v="428000"/>
  </r>
  <r>
    <x v="486"/>
    <x v="2"/>
    <x v="2"/>
    <x v="76"/>
    <n v="57609.08"/>
    <n v="0"/>
    <n v="57609.08"/>
    <n v="0"/>
    <n v="0"/>
    <n v="0"/>
    <n v="107805.92"/>
    <n v="0"/>
    <n v="107805.92"/>
    <n v="0"/>
    <n v="0"/>
    <n v="0"/>
    <n v="330830"/>
  </r>
  <r>
    <x v="487"/>
    <x v="0"/>
    <x v="0"/>
    <x v="1"/>
    <n v="0"/>
    <n v="0"/>
    <n v="0"/>
    <n v="1579"/>
    <n v="0"/>
    <n v="1579"/>
    <n v="0"/>
    <n v="0"/>
    <n v="0"/>
    <n v="6466.92"/>
    <n v="0"/>
    <n v="6466.92"/>
    <n v="16091.84"/>
  </r>
  <r>
    <x v="488"/>
    <x v="2"/>
    <x v="2"/>
    <x v="17"/>
    <n v="97188"/>
    <n v="0"/>
    <n v="97188"/>
    <n v="0"/>
    <n v="0"/>
    <n v="0"/>
    <n v="14800"/>
    <n v="0"/>
    <n v="14800"/>
    <n v="0"/>
    <n v="0"/>
    <n v="0"/>
    <n v="223976"/>
  </r>
  <r>
    <x v="489"/>
    <x v="6"/>
    <x v="6"/>
    <x v="10"/>
    <n v="0"/>
    <n v="0"/>
    <n v="0"/>
    <n v="0"/>
    <n v="0"/>
    <n v="0"/>
    <n v="0"/>
    <n v="0"/>
    <n v="0"/>
    <n v="163898"/>
    <n v="0"/>
    <n v="163898"/>
    <n v="327796"/>
  </r>
  <r>
    <x v="490"/>
    <x v="0"/>
    <x v="0"/>
    <x v="0"/>
    <n v="0"/>
    <n v="0"/>
    <n v="0"/>
    <n v="553184"/>
    <n v="0"/>
    <n v="553184"/>
    <n v="0"/>
    <n v="0"/>
    <n v="0"/>
    <n v="303024"/>
    <n v="0"/>
    <n v="303024"/>
    <n v="1712416"/>
  </r>
  <r>
    <x v="491"/>
    <x v="18"/>
    <x v="19"/>
    <x v="38"/>
    <n v="61964"/>
    <n v="0"/>
    <n v="61964"/>
    <n v="0"/>
    <n v="0"/>
    <n v="0"/>
    <n v="16463"/>
    <n v="0"/>
    <n v="16463"/>
    <n v="0"/>
    <n v="0"/>
    <n v="0"/>
    <n v="156854"/>
  </r>
  <r>
    <x v="492"/>
    <x v="2"/>
    <x v="2"/>
    <x v="31"/>
    <n v="1281082.44"/>
    <n v="0"/>
    <n v="1281082.44"/>
    <n v="0"/>
    <n v="0"/>
    <n v="0"/>
    <n v="622583.19999999995"/>
    <n v="0"/>
    <n v="622583.19999999995"/>
    <n v="0"/>
    <n v="0"/>
    <n v="0"/>
    <n v="3807331.2800000003"/>
  </r>
  <r>
    <x v="493"/>
    <x v="0"/>
    <x v="0"/>
    <x v="0"/>
    <n v="0"/>
    <n v="0"/>
    <n v="0"/>
    <n v="88755"/>
    <n v="0"/>
    <n v="88755"/>
    <n v="0"/>
    <n v="0"/>
    <n v="0"/>
    <n v="90301"/>
    <n v="0"/>
    <n v="90301"/>
    <n v="358112"/>
  </r>
  <r>
    <x v="494"/>
    <x v="3"/>
    <x v="3"/>
    <x v="4"/>
    <n v="333284"/>
    <n v="0"/>
    <n v="333284"/>
    <n v="0"/>
    <n v="0"/>
    <n v="0"/>
    <n v="0"/>
    <n v="0"/>
    <n v="0"/>
    <n v="0"/>
    <n v="0"/>
    <n v="0"/>
    <n v="666568"/>
  </r>
  <r>
    <x v="495"/>
    <x v="12"/>
    <x v="12"/>
    <x v="26"/>
    <n v="676306.5"/>
    <n v="0"/>
    <n v="676306.5"/>
    <n v="0"/>
    <n v="0"/>
    <n v="0"/>
    <n v="767149"/>
    <n v="0"/>
    <n v="767149"/>
    <n v="0"/>
    <n v="0"/>
    <n v="0"/>
    <n v="2886911"/>
  </r>
  <r>
    <x v="496"/>
    <x v="12"/>
    <x v="12"/>
    <x v="26"/>
    <n v="900"/>
    <n v="0"/>
    <n v="900"/>
    <n v="0"/>
    <n v="0"/>
    <n v="0"/>
    <n v="0"/>
    <n v="0"/>
    <n v="0"/>
    <n v="0"/>
    <n v="0"/>
    <n v="0"/>
    <n v="1800"/>
  </r>
  <r>
    <x v="497"/>
    <x v="2"/>
    <x v="2"/>
    <x v="59"/>
    <n v="350000"/>
    <n v="0"/>
    <n v="350000"/>
    <n v="0"/>
    <n v="0"/>
    <n v="0"/>
    <n v="375000"/>
    <n v="0"/>
    <n v="375000"/>
    <n v="0"/>
    <n v="0"/>
    <n v="0"/>
    <n v="1450000"/>
  </r>
  <r>
    <x v="498"/>
    <x v="3"/>
    <x v="3"/>
    <x v="4"/>
    <n v="122689"/>
    <n v="0"/>
    <n v="122689"/>
    <n v="0"/>
    <n v="0"/>
    <n v="0"/>
    <n v="0"/>
    <n v="0"/>
    <n v="0"/>
    <n v="0"/>
    <n v="0"/>
    <n v="0"/>
    <n v="245378"/>
  </r>
  <r>
    <x v="499"/>
    <x v="0"/>
    <x v="0"/>
    <x v="1"/>
    <n v="0"/>
    <n v="0"/>
    <n v="0"/>
    <n v="92820"/>
    <n v="0"/>
    <n v="92820"/>
    <n v="0"/>
    <n v="0"/>
    <n v="0"/>
    <n v="82180"/>
    <n v="0"/>
    <n v="82180"/>
    <n v="350000"/>
  </r>
  <r>
    <x v="500"/>
    <x v="0"/>
    <x v="0"/>
    <x v="0"/>
    <n v="0"/>
    <n v="0"/>
    <n v="0"/>
    <n v="2274218"/>
    <n v="0"/>
    <n v="2274218"/>
    <n v="0"/>
    <n v="0"/>
    <n v="0"/>
    <n v="1276901"/>
    <n v="0"/>
    <n v="1276901"/>
    <n v="7102238"/>
  </r>
  <r>
    <x v="501"/>
    <x v="0"/>
    <x v="0"/>
    <x v="0"/>
    <n v="0"/>
    <n v="0"/>
    <n v="0"/>
    <n v="0"/>
    <n v="0"/>
    <n v="0"/>
    <n v="0"/>
    <n v="0"/>
    <n v="0"/>
    <n v="51588"/>
    <n v="0"/>
    <n v="51588"/>
    <n v="103176"/>
  </r>
  <r>
    <x v="502"/>
    <x v="2"/>
    <x v="2"/>
    <x v="21"/>
    <n v="0"/>
    <n v="0"/>
    <n v="0"/>
    <n v="0"/>
    <n v="0"/>
    <n v="0"/>
    <n v="0"/>
    <n v="0"/>
    <n v="0"/>
    <n v="0"/>
    <n v="0"/>
    <n v="0"/>
    <n v="0"/>
  </r>
  <r>
    <x v="503"/>
    <x v="2"/>
    <x v="2"/>
    <x v="21"/>
    <n v="0"/>
    <n v="0"/>
    <n v="0"/>
    <n v="0"/>
    <n v="0"/>
    <n v="0"/>
    <n v="0"/>
    <n v="0"/>
    <n v="0"/>
    <n v="0"/>
    <n v="0"/>
    <n v="0"/>
    <n v="0"/>
  </r>
  <r>
    <x v="504"/>
    <x v="2"/>
    <x v="2"/>
    <x v="21"/>
    <n v="24429.360000000001"/>
    <n v="0"/>
    <n v="24429.360000000001"/>
    <n v="0"/>
    <n v="0"/>
    <n v="0"/>
    <n v="0"/>
    <n v="0"/>
    <n v="0"/>
    <n v="0"/>
    <n v="0"/>
    <n v="0"/>
    <n v="48858.720000000001"/>
  </r>
  <r>
    <x v="505"/>
    <x v="2"/>
    <x v="2"/>
    <x v="21"/>
    <n v="0"/>
    <n v="0"/>
    <n v="0"/>
    <n v="0"/>
    <n v="0"/>
    <n v="0"/>
    <n v="427952"/>
    <n v="0"/>
    <n v="427952"/>
    <n v="0"/>
    <n v="0"/>
    <n v="0"/>
    <n v="855904"/>
  </r>
  <r>
    <x v="506"/>
    <x v="2"/>
    <x v="2"/>
    <x v="29"/>
    <n v="0"/>
    <n v="0"/>
    <n v="0"/>
    <n v="0"/>
    <n v="0"/>
    <n v="0"/>
    <n v="37000"/>
    <n v="0"/>
    <n v="37000"/>
    <n v="0"/>
    <n v="0"/>
    <n v="0"/>
    <n v="74000"/>
  </r>
  <r>
    <x v="507"/>
    <x v="2"/>
    <x v="2"/>
    <x v="21"/>
    <n v="14674"/>
    <n v="0"/>
    <n v="14674"/>
    <n v="0"/>
    <n v="0"/>
    <n v="0"/>
    <n v="0"/>
    <n v="0"/>
    <n v="0"/>
    <n v="0"/>
    <n v="0"/>
    <n v="0"/>
    <n v="29348"/>
  </r>
  <r>
    <x v="508"/>
    <x v="1"/>
    <x v="1"/>
    <x v="24"/>
    <n v="0"/>
    <n v="0"/>
    <n v="0"/>
    <n v="0"/>
    <n v="0"/>
    <n v="0"/>
    <n v="13978.36"/>
    <n v="0"/>
    <n v="13978.36"/>
    <n v="0"/>
    <n v="0"/>
    <n v="0"/>
    <n v="27956.720000000001"/>
  </r>
  <r>
    <x v="509"/>
    <x v="1"/>
    <x v="1"/>
    <x v="24"/>
    <n v="0"/>
    <n v="0"/>
    <n v="0"/>
    <n v="0"/>
    <n v="0"/>
    <n v="0"/>
    <n v="10451"/>
    <n v="0"/>
    <n v="10451"/>
    <n v="0"/>
    <n v="0"/>
    <n v="0"/>
    <n v="20902"/>
  </r>
  <r>
    <x v="510"/>
    <x v="1"/>
    <x v="1"/>
    <x v="24"/>
    <n v="0"/>
    <n v="0"/>
    <n v="0"/>
    <n v="0"/>
    <n v="0"/>
    <n v="0"/>
    <n v="439878"/>
    <n v="0"/>
    <n v="439878"/>
    <n v="0"/>
    <n v="0"/>
    <n v="0"/>
    <n v="879756"/>
  </r>
  <r>
    <x v="511"/>
    <x v="3"/>
    <x v="3"/>
    <x v="4"/>
    <n v="0"/>
    <n v="0"/>
    <n v="0"/>
    <n v="0"/>
    <n v="0"/>
    <n v="0"/>
    <n v="151873"/>
    <n v="0"/>
    <n v="151873"/>
    <n v="0"/>
    <n v="0"/>
    <n v="0"/>
    <n v="303746"/>
  </r>
  <r>
    <x v="512"/>
    <x v="9"/>
    <x v="9"/>
    <x v="19"/>
    <n v="2991111"/>
    <n v="0"/>
    <n v="2991111"/>
    <n v="0"/>
    <n v="0"/>
    <n v="0"/>
    <n v="1961724"/>
    <n v="0"/>
    <n v="1961724"/>
    <n v="0"/>
    <n v="0"/>
    <n v="0"/>
    <n v="9905670"/>
  </r>
  <r>
    <x v="513"/>
    <x v="2"/>
    <x v="2"/>
    <x v="77"/>
    <n v="332580"/>
    <n v="0"/>
    <n v="332580"/>
    <n v="0"/>
    <n v="0"/>
    <n v="0"/>
    <n v="369756"/>
    <n v="0"/>
    <n v="369756"/>
    <n v="0"/>
    <n v="0"/>
    <n v="0"/>
    <n v="1404672"/>
  </r>
  <r>
    <x v="514"/>
    <x v="2"/>
    <x v="2"/>
    <x v="77"/>
    <n v="254656"/>
    <n v="0"/>
    <n v="254656"/>
    <n v="0"/>
    <n v="0"/>
    <n v="0"/>
    <n v="226251.5"/>
    <n v="0"/>
    <n v="226251.5"/>
    <n v="0"/>
    <n v="0"/>
    <n v="0"/>
    <n v="961815"/>
  </r>
  <r>
    <x v="515"/>
    <x v="0"/>
    <x v="0"/>
    <x v="0"/>
    <n v="0"/>
    <n v="0"/>
    <n v="0"/>
    <n v="8130"/>
    <n v="0"/>
    <n v="8130"/>
    <n v="0"/>
    <n v="0"/>
    <n v="0"/>
    <n v="0"/>
    <n v="0"/>
    <n v="0"/>
    <n v="16260"/>
  </r>
  <r>
    <x v="516"/>
    <x v="0"/>
    <x v="0"/>
    <x v="0"/>
    <n v="0"/>
    <n v="0"/>
    <n v="0"/>
    <n v="4434"/>
    <n v="0"/>
    <n v="4434"/>
    <n v="0"/>
    <n v="0"/>
    <n v="0"/>
    <n v="0"/>
    <n v="0"/>
    <n v="0"/>
    <n v="8868"/>
  </r>
  <r>
    <x v="517"/>
    <x v="0"/>
    <x v="0"/>
    <x v="0"/>
    <n v="0"/>
    <n v="0"/>
    <n v="0"/>
    <n v="699844"/>
    <n v="0"/>
    <n v="699844"/>
    <n v="0"/>
    <n v="0"/>
    <n v="0"/>
    <n v="615157"/>
    <n v="0"/>
    <n v="615157"/>
    <n v="2630002"/>
  </r>
  <r>
    <x v="518"/>
    <x v="0"/>
    <x v="0"/>
    <x v="0"/>
    <n v="0"/>
    <n v="0"/>
    <n v="0"/>
    <n v="7780"/>
    <n v="0"/>
    <n v="7780"/>
    <n v="0"/>
    <n v="0"/>
    <n v="0"/>
    <n v="0"/>
    <n v="0"/>
    <n v="0"/>
    <n v="15560"/>
  </r>
  <r>
    <x v="519"/>
    <x v="0"/>
    <x v="0"/>
    <x v="0"/>
    <n v="0"/>
    <n v="0"/>
    <n v="0"/>
    <n v="0"/>
    <n v="0"/>
    <n v="0"/>
    <n v="0"/>
    <n v="0"/>
    <n v="0"/>
    <n v="1343823"/>
    <n v="0"/>
    <n v="1343823"/>
    <n v="2687646"/>
  </r>
  <r>
    <x v="520"/>
    <x v="0"/>
    <x v="0"/>
    <x v="0"/>
    <n v="0"/>
    <n v="0"/>
    <n v="0"/>
    <n v="0"/>
    <n v="0"/>
    <n v="0"/>
    <n v="0"/>
    <n v="0"/>
    <n v="0"/>
    <n v="621226"/>
    <n v="0"/>
    <n v="621226"/>
    <n v="1242452"/>
  </r>
  <r>
    <x v="521"/>
    <x v="3"/>
    <x v="3"/>
    <x v="4"/>
    <n v="0"/>
    <n v="0"/>
    <n v="0"/>
    <n v="0"/>
    <n v="0"/>
    <n v="0"/>
    <n v="204778"/>
    <n v="0"/>
    <n v="204778"/>
    <n v="0"/>
    <n v="0"/>
    <n v="0"/>
    <n v="409556"/>
  </r>
  <r>
    <x v="522"/>
    <x v="0"/>
    <x v="0"/>
    <x v="0"/>
    <n v="0"/>
    <n v="0"/>
    <n v="0"/>
    <n v="226800"/>
    <n v="0"/>
    <n v="226800"/>
    <n v="0"/>
    <n v="0"/>
    <n v="0"/>
    <n v="226800"/>
    <n v="0"/>
    <n v="226800"/>
    <n v="907200"/>
  </r>
  <r>
    <x v="523"/>
    <x v="2"/>
    <x v="2"/>
    <x v="17"/>
    <n v="0"/>
    <n v="0"/>
    <n v="0"/>
    <n v="0"/>
    <n v="0"/>
    <n v="0"/>
    <n v="136710"/>
    <n v="0"/>
    <n v="136710"/>
    <n v="0"/>
    <n v="0"/>
    <n v="0"/>
    <n v="273420"/>
  </r>
  <r>
    <x v="524"/>
    <x v="2"/>
    <x v="2"/>
    <x v="17"/>
    <n v="199906.5"/>
    <n v="0"/>
    <n v="199906.5"/>
    <n v="0"/>
    <n v="0"/>
    <n v="0"/>
    <n v="0"/>
    <n v="0"/>
    <n v="0"/>
    <n v="0"/>
    <n v="0"/>
    <n v="0"/>
    <n v="399813"/>
  </r>
  <r>
    <x v="525"/>
    <x v="2"/>
    <x v="2"/>
    <x v="78"/>
    <n v="6659960"/>
    <n v="0"/>
    <n v="6659960"/>
    <n v="0"/>
    <n v="0"/>
    <n v="0"/>
    <n v="6522638"/>
    <n v="0"/>
    <n v="6522638"/>
    <n v="0"/>
    <n v="0"/>
    <n v="0"/>
    <n v="26365196"/>
  </r>
  <r>
    <x v="526"/>
    <x v="12"/>
    <x v="12"/>
    <x v="26"/>
    <n v="237660256.5"/>
    <n v="0"/>
    <n v="237660256.5"/>
    <n v="0"/>
    <n v="0"/>
    <n v="0"/>
    <n v="274123635.5"/>
    <n v="0"/>
    <n v="274123635.5"/>
    <n v="0"/>
    <n v="0"/>
    <n v="0"/>
    <n v="1023567784"/>
  </r>
  <r>
    <x v="527"/>
    <x v="4"/>
    <x v="4"/>
    <x v="5"/>
    <n v="0"/>
    <n v="0"/>
    <n v="0"/>
    <n v="841449.98"/>
    <n v="0"/>
    <n v="841449.98"/>
    <n v="0"/>
    <n v="0"/>
    <n v="0"/>
    <n v="759998.6"/>
    <n v="0"/>
    <n v="759998.6"/>
    <n v="3202897.16"/>
  </r>
  <r>
    <x v="528"/>
    <x v="9"/>
    <x v="9"/>
    <x v="79"/>
    <n v="172560"/>
    <n v="0"/>
    <n v="172560"/>
    <n v="0"/>
    <n v="0"/>
    <n v="0"/>
    <n v="0"/>
    <n v="0"/>
    <n v="0"/>
    <n v="0"/>
    <n v="0"/>
    <n v="0"/>
    <n v="345120"/>
  </r>
  <r>
    <x v="529"/>
    <x v="9"/>
    <x v="9"/>
    <x v="79"/>
    <n v="229919.2"/>
    <n v="0"/>
    <n v="229919.2"/>
    <n v="0"/>
    <n v="0"/>
    <n v="0"/>
    <n v="484789"/>
    <n v="0"/>
    <n v="484789"/>
    <n v="0"/>
    <n v="0"/>
    <n v="0"/>
    <n v="1429416.4"/>
  </r>
  <r>
    <x v="530"/>
    <x v="0"/>
    <x v="0"/>
    <x v="1"/>
    <n v="0"/>
    <n v="0"/>
    <n v="0"/>
    <n v="52406"/>
    <n v="0"/>
    <n v="52406"/>
    <n v="0"/>
    <n v="0"/>
    <n v="0"/>
    <n v="0"/>
    <n v="0"/>
    <n v="0"/>
    <n v="104812"/>
  </r>
  <r>
    <x v="531"/>
    <x v="2"/>
    <x v="2"/>
    <x v="8"/>
    <n v="5716"/>
    <n v="0"/>
    <n v="5716"/>
    <n v="0"/>
    <n v="0"/>
    <n v="0"/>
    <n v="14690"/>
    <n v="0"/>
    <n v="14690"/>
    <n v="0"/>
    <n v="0"/>
    <n v="0"/>
    <n v="40812"/>
  </r>
  <r>
    <x v="532"/>
    <x v="0"/>
    <x v="0"/>
    <x v="0"/>
    <n v="0"/>
    <n v="0"/>
    <n v="0"/>
    <n v="0"/>
    <n v="0"/>
    <n v="0"/>
    <n v="0"/>
    <n v="0"/>
    <n v="0"/>
    <n v="22041"/>
    <n v="0"/>
    <n v="22041"/>
    <n v="44082"/>
  </r>
  <r>
    <x v="533"/>
    <x v="0"/>
    <x v="0"/>
    <x v="0"/>
    <n v="0"/>
    <n v="0"/>
    <n v="0"/>
    <n v="142942"/>
    <n v="0"/>
    <n v="142942"/>
    <n v="0"/>
    <n v="0"/>
    <n v="0"/>
    <n v="0"/>
    <n v="0"/>
    <n v="0"/>
    <n v="285884"/>
  </r>
  <r>
    <x v="534"/>
    <x v="3"/>
    <x v="3"/>
    <x v="4"/>
    <n v="18060676"/>
    <n v="0"/>
    <n v="18060676"/>
    <n v="0"/>
    <n v="0"/>
    <n v="0"/>
    <n v="19528757"/>
    <n v="0"/>
    <n v="19528757"/>
    <n v="0"/>
    <n v="0"/>
    <n v="0"/>
    <n v="75178866"/>
  </r>
  <r>
    <x v="535"/>
    <x v="0"/>
    <x v="0"/>
    <x v="1"/>
    <n v="0"/>
    <n v="0"/>
    <n v="0"/>
    <n v="0"/>
    <n v="0"/>
    <n v="0"/>
    <n v="0"/>
    <n v="0"/>
    <n v="0"/>
    <n v="14337"/>
    <n v="0"/>
    <n v="14337"/>
    <n v="28674"/>
  </r>
  <r>
    <x v="536"/>
    <x v="6"/>
    <x v="1"/>
    <x v="80"/>
    <n v="0"/>
    <n v="0"/>
    <n v="0"/>
    <n v="0"/>
    <n v="0"/>
    <n v="0"/>
    <n v="1521769"/>
    <n v="0"/>
    <n v="1521769"/>
    <n v="0"/>
    <n v="0"/>
    <n v="0"/>
    <n v="304353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H669" firstHeaderRow="0" firstDataRow="1" firstDataCol="4"/>
  <pivotFields count="17">
    <pivotField axis="axisRow" showAll="0">
      <items count="538">
        <item x="0"/>
        <item x="1"/>
        <item x="2"/>
        <item x="3"/>
        <item x="4"/>
        <item x="5"/>
        <item x="6"/>
        <item x="7"/>
        <item x="8"/>
        <item x="9"/>
        <item x="10"/>
        <item x="11"/>
        <item x="12"/>
        <item x="13"/>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3"/>
        <item x="164"/>
        <item x="165"/>
        <item x="166"/>
        <item x="167"/>
        <item x="168"/>
        <item x="169"/>
        <item x="170"/>
        <item x="171"/>
        <item x="172"/>
        <item x="173"/>
        <item x="174"/>
        <item x="175"/>
        <item x="176"/>
        <item x="177"/>
        <item x="178"/>
        <item x="179"/>
        <item x="180"/>
        <item x="181"/>
        <item x="182"/>
        <item x="183"/>
        <item x="184"/>
        <item x="185"/>
        <item x="186"/>
        <item x="187"/>
        <item x="188"/>
        <item x="189"/>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2"/>
        <item x="333"/>
        <item x="334"/>
        <item x="335"/>
        <item x="336"/>
        <item x="337"/>
        <item x="338"/>
        <item x="339"/>
        <item x="340"/>
        <item x="341"/>
        <item x="342"/>
        <item x="343"/>
        <item x="344"/>
        <item x="345"/>
        <item x="346"/>
        <item x="347"/>
        <item x="348"/>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4"/>
        <item x="535"/>
        <item x="536"/>
        <item x="278"/>
        <item x="383"/>
        <item x="384"/>
        <item x="385"/>
        <item x="190"/>
        <item x="191"/>
        <item x="349"/>
        <item x="55"/>
        <item x="56"/>
        <item x="161"/>
        <item x="162"/>
        <item x="331"/>
        <item x="475"/>
        <item x="15"/>
        <item x="14"/>
        <item x="533"/>
        <item x="118"/>
        <item x="504"/>
        <item t="default"/>
      </items>
    </pivotField>
    <pivotField axis="axisRow" outline="0" showAll="0">
      <items count="23">
        <item x="19"/>
        <item x="10"/>
        <item x="5"/>
        <item x="13"/>
        <item x="21"/>
        <item x="0"/>
        <item x="6"/>
        <item x="16"/>
        <item x="9"/>
        <item x="1"/>
        <item x="14"/>
        <item x="3"/>
        <item x="11"/>
        <item x="4"/>
        <item x="15"/>
        <item x="18"/>
        <item x="7"/>
        <item x="12"/>
        <item x="17"/>
        <item x="8"/>
        <item x="2"/>
        <item x="20"/>
        <item t="default"/>
      </items>
    </pivotField>
    <pivotField axis="axisRow" outline="0" showAll="0">
      <items count="24">
        <item x="11"/>
        <item x="13"/>
        <item x="17"/>
        <item x="18"/>
        <item x="8"/>
        <item x="9"/>
        <item x="5"/>
        <item x="1"/>
        <item x="21"/>
        <item x="15"/>
        <item x="6"/>
        <item x="2"/>
        <item x="7"/>
        <item x="14"/>
        <item x="12"/>
        <item x="10"/>
        <item x="19"/>
        <item x="20"/>
        <item x="22"/>
        <item x="4"/>
        <item x="16"/>
        <item x="0"/>
        <item x="3"/>
        <item t="default"/>
      </items>
    </pivotField>
    <pivotField axis="axisRow" outline="0" showAll="0">
      <items count="83">
        <item x="80"/>
        <item x="2"/>
        <item x="5"/>
        <item x="11"/>
        <item x="13"/>
        <item x="68"/>
        <item x="67"/>
        <item x="34"/>
        <item x="24"/>
        <item x="20"/>
        <item x="79"/>
        <item x="23"/>
        <item x="42"/>
        <item x="32"/>
        <item x="36"/>
        <item x="39"/>
        <item x="40"/>
        <item x="70"/>
        <item x="12"/>
        <item x="14"/>
        <item x="8"/>
        <item x="48"/>
        <item x="29"/>
        <item x="9"/>
        <item x="18"/>
        <item x="74"/>
        <item x="21"/>
        <item x="46"/>
        <item x="60"/>
        <item x="77"/>
        <item x="76"/>
        <item x="31"/>
        <item x="44"/>
        <item x="45"/>
        <item x="49"/>
        <item x="53"/>
        <item x="51"/>
        <item x="41"/>
        <item x="6"/>
        <item x="33"/>
        <item x="43"/>
        <item x="65"/>
        <item x="17"/>
        <item x="59"/>
        <item x="27"/>
        <item x="72"/>
        <item x="64"/>
        <item x="78"/>
        <item x="66"/>
        <item x="22"/>
        <item x="55"/>
        <item x="58"/>
        <item x="15"/>
        <item x="54"/>
        <item x="4"/>
        <item x="57"/>
        <item x="52"/>
        <item x="50"/>
        <item x="62"/>
        <item x="35"/>
        <item x="26"/>
        <item x="37"/>
        <item x="38"/>
        <item x="69"/>
        <item x="73"/>
        <item x="75"/>
        <item x="71"/>
        <item x="3"/>
        <item x="28"/>
        <item x="47"/>
        <item x="56"/>
        <item x="30"/>
        <item x="61"/>
        <item x="19"/>
        <item x="63"/>
        <item x="0"/>
        <item x="1"/>
        <item x="10"/>
        <item x="16"/>
        <item x="7"/>
        <item m="1" x="81"/>
        <item x="25"/>
        <item t="default"/>
      </items>
    </pivotField>
    <pivotField numFmtId="166" showAll="0"/>
    <pivotField numFmtId="166" showAll="0"/>
    <pivotField dataField="1" numFmtId="166" showAll="0"/>
    <pivotField numFmtId="166" showAll="0"/>
    <pivotField numFmtId="166" showAll="0"/>
    <pivotField dataField="1" numFmtId="166" showAll="0"/>
    <pivotField numFmtId="166" showAll="0"/>
    <pivotField showAll="0"/>
    <pivotField dataField="1" numFmtId="166" showAll="0"/>
    <pivotField numFmtId="166" showAll="0"/>
    <pivotField showAll="0"/>
    <pivotField dataField="1" numFmtId="166" showAll="0"/>
    <pivotField showAll="0" defaultSubtotal="0"/>
  </pivotFields>
  <rowFields count="4">
    <field x="1"/>
    <field x="2"/>
    <field x="3"/>
    <field x="0"/>
  </rowFields>
  <rowItems count="666">
    <i>
      <x/>
      <x v="17"/>
      <x v="37"/>
      <x v="120"/>
    </i>
    <i t="default" r="2">
      <x v="37"/>
    </i>
    <i t="default" r="1">
      <x v="17"/>
    </i>
    <i t="default">
      <x/>
    </i>
    <i>
      <x v="1"/>
      <x v="15"/>
      <x v="9"/>
      <x v="46"/>
    </i>
    <i r="3">
      <x v="376"/>
    </i>
    <i t="default" r="2">
      <x v="9"/>
    </i>
    <i r="2">
      <x v="33"/>
      <x v="150"/>
    </i>
    <i t="default" r="2">
      <x v="33"/>
    </i>
    <i r="2">
      <x v="66"/>
      <x v="407"/>
    </i>
    <i t="default" r="2">
      <x v="66"/>
    </i>
    <i r="2">
      <x v="72"/>
      <x v="324"/>
    </i>
    <i t="default" r="2">
      <x v="72"/>
    </i>
    <i t="default" r="1">
      <x v="15"/>
    </i>
    <i t="default">
      <x v="1"/>
    </i>
    <i>
      <x v="2"/>
      <x v="6"/>
      <x v="63"/>
      <x v="382"/>
    </i>
    <i r="3">
      <x v="383"/>
    </i>
    <i r="3">
      <x v="384"/>
    </i>
    <i r="3">
      <x v="385"/>
    </i>
    <i t="default" r="2">
      <x v="63"/>
    </i>
    <i r="2">
      <x v="65"/>
      <x v="447"/>
    </i>
    <i r="3">
      <x v="448"/>
    </i>
    <i r="3">
      <x v="449"/>
    </i>
    <i t="default" r="2">
      <x v="65"/>
    </i>
    <i r="2">
      <x v="79"/>
      <x v="14"/>
    </i>
    <i r="3">
      <x v="16"/>
    </i>
    <i r="3">
      <x v="33"/>
    </i>
    <i r="3">
      <x v="161"/>
    </i>
    <i r="3">
      <x v="214"/>
    </i>
    <i r="3">
      <x v="223"/>
    </i>
    <i r="3">
      <x v="401"/>
    </i>
    <i r="3">
      <x v="405"/>
    </i>
    <i r="3">
      <x v="435"/>
    </i>
    <i t="default" r="2">
      <x v="79"/>
    </i>
    <i t="default" r="1">
      <x v="6"/>
    </i>
    <i t="default">
      <x v="2"/>
    </i>
    <i>
      <x v="3"/>
      <x v="1"/>
      <x v="13"/>
      <x v="88"/>
    </i>
    <i t="default" r="2">
      <x v="13"/>
    </i>
    <i t="default" r="1">
      <x v="1"/>
    </i>
    <i t="default">
      <x v="3"/>
    </i>
    <i>
      <x v="4"/>
      <x v="18"/>
      <x v="64"/>
      <x v="440"/>
    </i>
    <i t="default" r="2">
      <x v="64"/>
    </i>
    <i t="default" r="1">
      <x v="18"/>
    </i>
    <i t="default">
      <x v="4"/>
    </i>
    <i>
      <x v="5"/>
      <x v="21"/>
      <x v="75"/>
      <x/>
    </i>
    <i r="3">
      <x v="10"/>
    </i>
    <i r="3">
      <x v="12"/>
    </i>
    <i r="3">
      <x v="17"/>
    </i>
    <i r="3">
      <x v="23"/>
    </i>
    <i r="3">
      <x v="26"/>
    </i>
    <i r="3">
      <x v="32"/>
    </i>
    <i r="3">
      <x v="38"/>
    </i>
    <i r="3">
      <x v="39"/>
    </i>
    <i r="3">
      <x v="40"/>
    </i>
    <i r="3">
      <x v="59"/>
    </i>
    <i r="3">
      <x v="60"/>
    </i>
    <i r="3">
      <x v="65"/>
    </i>
    <i r="3">
      <x v="86"/>
    </i>
    <i r="3">
      <x v="108"/>
    </i>
    <i r="3">
      <x v="116"/>
    </i>
    <i r="3">
      <x v="117"/>
    </i>
    <i r="3">
      <x v="137"/>
    </i>
    <i r="3">
      <x v="138"/>
    </i>
    <i r="3">
      <x v="148"/>
    </i>
    <i r="3">
      <x v="149"/>
    </i>
    <i r="3">
      <x v="151"/>
    </i>
    <i r="3">
      <x v="159"/>
    </i>
    <i r="3">
      <x v="163"/>
    </i>
    <i r="3">
      <x v="169"/>
    </i>
    <i r="3">
      <x v="173"/>
    </i>
    <i r="3">
      <x v="174"/>
    </i>
    <i r="3">
      <x v="207"/>
    </i>
    <i r="3">
      <x v="208"/>
    </i>
    <i r="3">
      <x v="211"/>
    </i>
    <i r="3">
      <x v="215"/>
    </i>
    <i r="3">
      <x v="224"/>
    </i>
    <i r="3">
      <x v="227"/>
    </i>
    <i r="3">
      <x v="230"/>
    </i>
    <i r="3">
      <x v="232"/>
    </i>
    <i r="3">
      <x v="239"/>
    </i>
    <i r="3">
      <x v="244"/>
    </i>
    <i r="3">
      <x v="256"/>
    </i>
    <i r="3">
      <x v="267"/>
    </i>
    <i r="3">
      <x v="300"/>
    </i>
    <i r="3">
      <x v="315"/>
    </i>
    <i r="3">
      <x v="319"/>
    </i>
    <i r="3">
      <x v="344"/>
    </i>
    <i r="3">
      <x v="345"/>
    </i>
    <i r="3">
      <x v="358"/>
    </i>
    <i r="3">
      <x v="360"/>
    </i>
    <i r="3">
      <x v="361"/>
    </i>
    <i r="3">
      <x v="364"/>
    </i>
    <i r="3">
      <x v="378"/>
    </i>
    <i r="3">
      <x v="386"/>
    </i>
    <i r="3">
      <x v="389"/>
    </i>
    <i r="3">
      <x v="390"/>
    </i>
    <i r="3">
      <x v="404"/>
    </i>
    <i r="3">
      <x v="406"/>
    </i>
    <i r="3">
      <x v="414"/>
    </i>
    <i r="3">
      <x v="416"/>
    </i>
    <i r="3">
      <x v="421"/>
    </i>
    <i r="3">
      <x v="422"/>
    </i>
    <i r="3">
      <x v="427"/>
    </i>
    <i r="3">
      <x v="428"/>
    </i>
    <i r="3">
      <x v="432"/>
    </i>
    <i r="3">
      <x v="436"/>
    </i>
    <i r="3">
      <x v="446"/>
    </i>
    <i r="3">
      <x v="456"/>
    </i>
    <i r="3">
      <x v="474"/>
    </i>
    <i r="3">
      <x v="477"/>
    </i>
    <i r="3">
      <x v="484"/>
    </i>
    <i r="3">
      <x v="485"/>
    </i>
    <i r="3">
      <x v="498"/>
    </i>
    <i r="3">
      <x v="499"/>
    </i>
    <i r="3">
      <x v="500"/>
    </i>
    <i r="3">
      <x v="501"/>
    </i>
    <i r="3">
      <x v="502"/>
    </i>
    <i r="3">
      <x v="503"/>
    </i>
    <i r="3">
      <x v="505"/>
    </i>
    <i r="3">
      <x v="515"/>
    </i>
    <i r="3">
      <x v="534"/>
    </i>
    <i t="default" r="2">
      <x v="75"/>
    </i>
    <i r="2">
      <x v="76"/>
      <x v="1"/>
    </i>
    <i r="3">
      <x v="6"/>
    </i>
    <i r="3">
      <x v="13"/>
    </i>
    <i r="3">
      <x v="15"/>
    </i>
    <i r="3">
      <x v="24"/>
    </i>
    <i r="3">
      <x v="30"/>
    </i>
    <i r="3">
      <x v="56"/>
    </i>
    <i r="3">
      <x v="57"/>
    </i>
    <i r="3">
      <x v="112"/>
    </i>
    <i r="3">
      <x v="136"/>
    </i>
    <i r="3">
      <x v="144"/>
    </i>
    <i r="3">
      <x v="153"/>
    </i>
    <i r="3">
      <x v="157"/>
    </i>
    <i r="3">
      <x v="160"/>
    </i>
    <i r="3">
      <x v="212"/>
    </i>
    <i r="3">
      <x v="213"/>
    </i>
    <i r="3">
      <x v="219"/>
    </i>
    <i r="3">
      <x v="221"/>
    </i>
    <i r="3">
      <x v="222"/>
    </i>
    <i r="3">
      <x v="228"/>
    </i>
    <i r="3">
      <x v="247"/>
    </i>
    <i r="3">
      <x v="248"/>
    </i>
    <i r="3">
      <x v="259"/>
    </i>
    <i r="3">
      <x v="263"/>
    </i>
    <i r="3">
      <x v="264"/>
    </i>
    <i r="3">
      <x v="265"/>
    </i>
    <i r="3">
      <x v="269"/>
    </i>
    <i r="3">
      <x v="270"/>
    </i>
    <i r="3">
      <x v="276"/>
    </i>
    <i r="3">
      <x v="301"/>
    </i>
    <i r="3">
      <x v="302"/>
    </i>
    <i r="3">
      <x v="303"/>
    </i>
    <i r="3">
      <x v="310"/>
    </i>
    <i r="3">
      <x v="312"/>
    </i>
    <i r="3">
      <x v="353"/>
    </i>
    <i r="3">
      <x v="371"/>
    </i>
    <i r="3">
      <x v="402"/>
    </i>
    <i r="3">
      <x v="419"/>
    </i>
    <i r="3">
      <x v="420"/>
    </i>
    <i r="3">
      <x v="471"/>
    </i>
    <i r="3">
      <x v="483"/>
    </i>
    <i r="3">
      <x v="513"/>
    </i>
    <i r="3">
      <x v="517"/>
    </i>
    <i r="3">
      <x v="532"/>
    </i>
    <i r="3">
      <x v="533"/>
    </i>
    <i t="default" r="2">
      <x v="76"/>
    </i>
    <i t="default" r="1">
      <x v="21"/>
    </i>
    <i t="default">
      <x v="5"/>
    </i>
    <i>
      <x v="6"/>
      <x v="7"/>
      <x/>
      <x v="518"/>
    </i>
    <i t="default" r="2">
      <x/>
    </i>
    <i t="default" r="1">
      <x v="7"/>
    </i>
    <i r="1">
      <x v="10"/>
      <x v="15"/>
      <x v="113"/>
    </i>
    <i r="3">
      <x v="535"/>
    </i>
    <i t="default" r="2">
      <x v="15"/>
    </i>
    <i r="2">
      <x v="17"/>
      <x v="391"/>
    </i>
    <i t="default" r="2">
      <x v="17"/>
    </i>
    <i r="2">
      <x v="53"/>
      <x v="201"/>
    </i>
    <i t="default" r="2">
      <x v="53"/>
    </i>
    <i r="2">
      <x v="71"/>
      <x v="75"/>
    </i>
    <i r="3">
      <x v="76"/>
    </i>
    <i r="3">
      <x v="438"/>
    </i>
    <i r="3">
      <x v="458"/>
    </i>
    <i r="3">
      <x v="462"/>
    </i>
    <i r="3">
      <x v="463"/>
    </i>
    <i r="3">
      <x v="464"/>
    </i>
    <i r="3">
      <x v="465"/>
    </i>
    <i r="3">
      <x v="466"/>
    </i>
    <i r="3">
      <x v="467"/>
    </i>
    <i r="3">
      <x v="468"/>
    </i>
    <i r="3">
      <x v="469"/>
    </i>
    <i t="default" r="2">
      <x v="71"/>
    </i>
    <i r="2">
      <x v="77"/>
      <x v="20"/>
    </i>
    <i r="3">
      <x v="318"/>
    </i>
    <i r="3">
      <x v="354"/>
    </i>
    <i r="3">
      <x v="473"/>
    </i>
    <i t="default" r="2">
      <x v="77"/>
    </i>
    <i t="default" r="1">
      <x v="10"/>
    </i>
    <i t="default">
      <x v="6"/>
    </i>
    <i>
      <x v="7"/>
      <x v="20"/>
      <x v="59"/>
      <x v="97"/>
    </i>
    <i r="3">
      <x v="171"/>
    </i>
    <i r="3">
      <x v="236"/>
    </i>
    <i r="3">
      <x v="328"/>
    </i>
    <i r="3">
      <x v="342"/>
    </i>
    <i t="default" r="2">
      <x v="59"/>
    </i>
    <i t="default" r="1">
      <x v="20"/>
    </i>
    <i t="default">
      <x v="7"/>
    </i>
    <i>
      <x v="8"/>
      <x v="2"/>
      <x v="14"/>
      <x v="99"/>
    </i>
    <i r="3">
      <x v="100"/>
    </i>
    <i r="3">
      <x v="101"/>
    </i>
    <i r="3">
      <x v="102"/>
    </i>
    <i r="3">
      <x v="103"/>
    </i>
    <i r="3">
      <x v="104"/>
    </i>
    <i r="3">
      <x v="105"/>
    </i>
    <i t="default" r="2">
      <x v="14"/>
    </i>
    <i t="default" r="1">
      <x v="2"/>
    </i>
    <i r="1">
      <x v="5"/>
      <x v="10"/>
      <x v="511"/>
    </i>
    <i r="3">
      <x v="512"/>
    </i>
    <i t="default" r="2">
      <x v="10"/>
    </i>
    <i r="2">
      <x v="73"/>
      <x v="45"/>
    </i>
    <i r="3">
      <x v="72"/>
    </i>
    <i r="3">
      <x v="119"/>
    </i>
    <i r="3">
      <x v="145"/>
    </i>
    <i r="3">
      <x v="147"/>
    </i>
    <i r="3">
      <x v="277"/>
    </i>
    <i r="3">
      <x v="309"/>
    </i>
    <i r="3">
      <x v="495"/>
    </i>
    <i t="default" r="2">
      <x v="73"/>
    </i>
    <i r="2">
      <x v="74"/>
      <x v="329"/>
    </i>
    <i r="3">
      <x v="330"/>
    </i>
    <i r="3">
      <x v="331"/>
    </i>
    <i r="3">
      <x v="332"/>
    </i>
    <i r="3">
      <x v="333"/>
    </i>
    <i r="3">
      <x v="334"/>
    </i>
    <i r="3">
      <x v="335"/>
    </i>
    <i r="3">
      <x v="336"/>
    </i>
    <i t="default" r="2">
      <x v="74"/>
    </i>
    <i t="default" r="1">
      <x v="5"/>
    </i>
    <i t="default">
      <x v="8"/>
    </i>
    <i>
      <x v="9"/>
      <x v="7"/>
      <x v="1"/>
      <x v="2"/>
    </i>
    <i r="3">
      <x v="3"/>
    </i>
    <i r="3">
      <x v="337"/>
    </i>
    <i r="3">
      <x v="338"/>
    </i>
    <i r="3">
      <x v="339"/>
    </i>
    <i r="3">
      <x v="340"/>
    </i>
    <i r="3">
      <x v="341"/>
    </i>
    <i r="3">
      <x v="457"/>
    </i>
    <i r="3">
      <x v="459"/>
    </i>
    <i r="3">
      <x v="461"/>
    </i>
    <i r="3">
      <x v="525"/>
    </i>
    <i r="3">
      <x v="531"/>
    </i>
    <i t="default" r="2">
      <x v="1"/>
    </i>
    <i r="2">
      <x v="8"/>
      <x v="52"/>
    </i>
    <i r="3">
      <x v="83"/>
    </i>
    <i r="3">
      <x v="343"/>
    </i>
    <i r="3">
      <x v="491"/>
    </i>
    <i r="3">
      <x v="492"/>
    </i>
    <i r="3">
      <x v="493"/>
    </i>
    <i r="3">
      <x v="526"/>
    </i>
    <i r="3">
      <x v="527"/>
    </i>
    <i t="default" r="2">
      <x v="8"/>
    </i>
    <i r="2">
      <x v="38"/>
      <x v="11"/>
    </i>
    <i r="3">
      <x v="42"/>
    </i>
    <i r="3">
      <x v="62"/>
    </i>
    <i r="3">
      <x v="107"/>
    </i>
    <i r="3">
      <x v="109"/>
    </i>
    <i r="3">
      <x v="162"/>
    </i>
    <i r="3">
      <x v="220"/>
    </i>
    <i r="3">
      <x v="226"/>
    </i>
    <i r="3">
      <x v="246"/>
    </i>
    <i r="3">
      <x v="249"/>
    </i>
    <i r="3">
      <x v="250"/>
    </i>
    <i r="3">
      <x v="260"/>
    </i>
    <i r="3">
      <x v="266"/>
    </i>
    <i r="3">
      <x v="268"/>
    </i>
    <i r="3">
      <x v="316"/>
    </i>
    <i r="3">
      <x v="359"/>
    </i>
    <i r="3">
      <x v="365"/>
    </i>
    <i r="3">
      <x v="387"/>
    </i>
    <i r="3">
      <x v="403"/>
    </i>
    <i r="3">
      <x v="415"/>
    </i>
    <i r="3">
      <x v="445"/>
    </i>
    <i r="3">
      <x v="453"/>
    </i>
    <i r="3">
      <x v="454"/>
    </i>
    <i t="default" r="2">
      <x v="38"/>
    </i>
    <i r="2">
      <x v="39"/>
      <x v="89"/>
    </i>
    <i r="3">
      <x v="90"/>
    </i>
    <i r="3">
      <x v="93"/>
    </i>
    <i r="3">
      <x v="95"/>
    </i>
    <i r="3">
      <x v="96"/>
    </i>
    <i t="default" r="2">
      <x v="39"/>
    </i>
    <i r="2">
      <x v="50"/>
      <x v="251"/>
    </i>
    <i r="3">
      <x v="252"/>
    </i>
    <i r="3">
      <x v="253"/>
    </i>
    <i r="3">
      <x v="254"/>
    </i>
    <i r="3">
      <x v="255"/>
    </i>
    <i t="default" r="2">
      <x v="50"/>
    </i>
    <i r="2">
      <x v="81"/>
      <x v="53"/>
    </i>
    <i r="3">
      <x v="54"/>
    </i>
    <i r="3">
      <x v="55"/>
    </i>
    <i r="3">
      <x v="81"/>
    </i>
    <i r="3">
      <x v="166"/>
    </i>
    <i r="3">
      <x v="167"/>
    </i>
    <i r="3">
      <x v="168"/>
    </i>
    <i r="3">
      <x v="367"/>
    </i>
    <i r="3">
      <x v="368"/>
    </i>
    <i r="3">
      <x v="369"/>
    </i>
    <i r="3">
      <x v="370"/>
    </i>
    <i r="3">
      <x v="410"/>
    </i>
    <i r="3">
      <x v="411"/>
    </i>
    <i r="3">
      <x v="412"/>
    </i>
    <i r="3">
      <x v="413"/>
    </i>
    <i r="3">
      <x v="520"/>
    </i>
    <i r="3">
      <x v="521"/>
    </i>
    <i r="3">
      <x v="522"/>
    </i>
    <i t="default" r="2">
      <x v="81"/>
    </i>
    <i t="default" r="1">
      <x v="7"/>
    </i>
    <i t="default">
      <x v="9"/>
    </i>
    <i>
      <x v="10"/>
      <x v="13"/>
      <x v="7"/>
      <x v="91"/>
    </i>
    <i r="3">
      <x v="94"/>
    </i>
    <i r="3">
      <x v="98"/>
    </i>
    <i r="3">
      <x v="139"/>
    </i>
    <i r="3">
      <x v="140"/>
    </i>
    <i r="3">
      <x v="141"/>
    </i>
    <i r="3">
      <x v="530"/>
    </i>
    <i t="default" r="2">
      <x v="7"/>
    </i>
    <i t="default" r="1">
      <x v="13"/>
    </i>
    <i t="default">
      <x v="10"/>
    </i>
    <i>
      <x v="11"/>
      <x v="22"/>
      <x v="54"/>
      <x v="5"/>
    </i>
    <i r="3">
      <x v="7"/>
    </i>
    <i r="3">
      <x v="8"/>
    </i>
    <i r="3">
      <x v="21"/>
    </i>
    <i r="3">
      <x v="22"/>
    </i>
    <i r="3">
      <x v="58"/>
    </i>
    <i r="3">
      <x v="61"/>
    </i>
    <i r="3">
      <x v="64"/>
    </i>
    <i r="3">
      <x v="79"/>
    </i>
    <i r="3">
      <x v="87"/>
    </i>
    <i r="3">
      <x v="106"/>
    </i>
    <i r="3">
      <x v="118"/>
    </i>
    <i r="3">
      <x v="175"/>
    </i>
    <i r="3">
      <x v="209"/>
    </i>
    <i r="3">
      <x v="210"/>
    </i>
    <i r="3">
      <x v="216"/>
    </i>
    <i r="3">
      <x v="217"/>
    </i>
    <i r="3">
      <x v="218"/>
    </i>
    <i r="3">
      <x v="225"/>
    </i>
    <i r="3">
      <x v="238"/>
    </i>
    <i r="3">
      <x v="261"/>
    </i>
    <i r="3">
      <x v="283"/>
    </i>
    <i r="3">
      <x v="284"/>
    </i>
    <i r="3">
      <x v="299"/>
    </i>
    <i r="3">
      <x v="314"/>
    </i>
    <i r="3">
      <x v="317"/>
    </i>
    <i r="3">
      <x v="321"/>
    </i>
    <i r="3">
      <x v="355"/>
    </i>
    <i r="3">
      <x v="356"/>
    </i>
    <i r="3">
      <x v="357"/>
    </i>
    <i r="3">
      <x v="388"/>
    </i>
    <i r="3">
      <x v="417"/>
    </i>
    <i r="3">
      <x v="418"/>
    </i>
    <i r="3">
      <x v="425"/>
    </i>
    <i r="3">
      <x v="426"/>
    </i>
    <i r="3">
      <x v="430"/>
    </i>
    <i r="3">
      <x v="431"/>
    </i>
    <i r="3">
      <x v="450"/>
    </i>
    <i r="3">
      <x v="452"/>
    </i>
    <i r="3">
      <x v="455"/>
    </i>
    <i r="3">
      <x v="478"/>
    </i>
    <i r="3">
      <x v="482"/>
    </i>
    <i r="3">
      <x v="494"/>
    </i>
    <i r="3">
      <x v="504"/>
    </i>
    <i r="3">
      <x v="516"/>
    </i>
    <i t="default" r="2">
      <x v="54"/>
    </i>
    <i r="2">
      <x v="55"/>
      <x v="519"/>
    </i>
    <i t="default" r="2">
      <x v="55"/>
    </i>
    <i r="2">
      <x v="78"/>
      <x v="41"/>
    </i>
    <i r="3">
      <x v="164"/>
    </i>
    <i r="3">
      <x v="231"/>
    </i>
    <i r="3">
      <x v="429"/>
    </i>
    <i r="3">
      <x v="437"/>
    </i>
    <i t="default" r="2">
      <x v="78"/>
    </i>
    <i t="default" r="1">
      <x v="22"/>
    </i>
    <i t="default">
      <x v="11"/>
    </i>
    <i>
      <x v="12"/>
      <x/>
      <x v="5"/>
      <x v="381"/>
    </i>
    <i t="default" r="2">
      <x v="5"/>
    </i>
    <i r="2">
      <x v="6"/>
      <x v="380"/>
    </i>
    <i t="default" r="2">
      <x v="6"/>
    </i>
    <i r="2">
      <x v="11"/>
      <x v="51"/>
    </i>
    <i t="default" r="2">
      <x v="11"/>
    </i>
    <i t="default" r="1">
      <x/>
    </i>
    <i t="default">
      <x v="12"/>
    </i>
    <i>
      <x v="13"/>
      <x v="19"/>
      <x v="2"/>
      <x v="9"/>
    </i>
    <i r="3">
      <x v="74"/>
    </i>
    <i r="3">
      <x v="85"/>
    </i>
    <i r="3">
      <x v="115"/>
    </i>
    <i r="3">
      <x v="176"/>
    </i>
    <i r="3">
      <x v="245"/>
    </i>
    <i r="3">
      <x v="262"/>
    </i>
    <i r="3">
      <x v="281"/>
    </i>
    <i r="3">
      <x v="510"/>
    </i>
    <i t="default" r="2">
      <x v="2"/>
    </i>
    <i t="default" r="1">
      <x v="19"/>
    </i>
    <i t="default">
      <x v="13"/>
    </i>
    <i>
      <x v="14"/>
      <x v="9"/>
      <x v="2"/>
      <x v="92"/>
    </i>
    <i t="default" r="2">
      <x v="2"/>
    </i>
    <i r="2">
      <x v="34"/>
      <x v="180"/>
    </i>
    <i t="default" r="2">
      <x v="34"/>
    </i>
    <i r="2">
      <x v="57"/>
      <x v="181"/>
    </i>
    <i r="3">
      <x v="320"/>
    </i>
    <i t="default" r="2">
      <x v="57"/>
    </i>
    <i t="default" r="1">
      <x v="9"/>
    </i>
    <i t="default">
      <x v="14"/>
    </i>
    <i>
      <x v="15"/>
      <x v="16"/>
      <x v="62"/>
      <x v="111"/>
    </i>
    <i r="3">
      <x v="128"/>
    </i>
    <i r="3">
      <x v="146"/>
    </i>
    <i r="3">
      <x v="297"/>
    </i>
    <i r="3">
      <x v="396"/>
    </i>
    <i r="3">
      <x v="397"/>
    </i>
    <i r="3">
      <x v="398"/>
    </i>
    <i r="3">
      <x v="399"/>
    </i>
    <i r="3">
      <x v="409"/>
    </i>
    <i r="3">
      <x v="434"/>
    </i>
    <i r="3">
      <x v="475"/>
    </i>
    <i t="default" r="2">
      <x v="62"/>
    </i>
    <i t="default" r="1">
      <x v="16"/>
    </i>
    <i t="default">
      <x v="15"/>
    </i>
    <i>
      <x v="16"/>
      <x v="12"/>
      <x v="3"/>
      <x v="25"/>
    </i>
    <i t="default" r="2">
      <x v="3"/>
    </i>
    <i r="2">
      <x v="32"/>
      <x v="142"/>
    </i>
    <i t="default" r="2">
      <x v="32"/>
    </i>
    <i r="2">
      <x v="36"/>
      <x v="182"/>
    </i>
    <i t="default" r="2">
      <x v="36"/>
    </i>
    <i r="2">
      <x v="56"/>
      <x v="184"/>
    </i>
    <i r="3">
      <x v="199"/>
    </i>
    <i r="3">
      <x v="326"/>
    </i>
    <i r="3">
      <x v="523"/>
    </i>
    <i r="3">
      <x v="524"/>
    </i>
    <i t="default" r="2">
      <x v="56"/>
    </i>
    <i r="2">
      <x v="58"/>
      <x v="325"/>
    </i>
    <i t="default" r="2">
      <x v="58"/>
    </i>
    <i t="default" r="1">
      <x v="12"/>
    </i>
    <i t="default">
      <x v="16"/>
    </i>
    <i>
      <x v="17"/>
      <x v="14"/>
      <x v="60"/>
      <x v="63"/>
    </i>
    <i r="3">
      <x v="66"/>
    </i>
    <i r="3">
      <x v="126"/>
    </i>
    <i r="3">
      <x v="143"/>
    </i>
    <i r="3">
      <x v="170"/>
    </i>
    <i r="3">
      <x v="285"/>
    </i>
    <i r="3">
      <x v="286"/>
    </i>
    <i r="3">
      <x v="293"/>
    </i>
    <i r="3">
      <x v="346"/>
    </i>
    <i r="3">
      <x v="348"/>
    </i>
    <i r="3">
      <x v="350"/>
    </i>
    <i r="3">
      <x v="351"/>
    </i>
    <i r="3">
      <x v="479"/>
    </i>
    <i r="3">
      <x v="480"/>
    </i>
    <i r="3">
      <x v="509"/>
    </i>
    <i t="default" r="2">
      <x v="60"/>
    </i>
    <i t="default" r="1">
      <x v="14"/>
    </i>
    <i t="default">
      <x v="17"/>
    </i>
    <i>
      <x v="18"/>
      <x v="3"/>
      <x v="12"/>
      <x v="121"/>
    </i>
    <i r="3">
      <x v="152"/>
    </i>
    <i r="3">
      <x v="327"/>
    </i>
    <i t="default" r="2">
      <x v="12"/>
    </i>
    <i r="2">
      <x v="61"/>
      <x v="110"/>
    </i>
    <i r="3">
      <x v="124"/>
    </i>
    <i r="3">
      <x v="172"/>
    </i>
    <i r="3">
      <x v="235"/>
    </i>
    <i r="3">
      <x v="372"/>
    </i>
    <i r="3">
      <x v="392"/>
    </i>
    <i r="3">
      <x v="393"/>
    </i>
    <i r="3">
      <x v="394"/>
    </i>
    <i r="3">
      <x v="395"/>
    </i>
    <i r="3">
      <x v="424"/>
    </i>
    <i t="default" r="2">
      <x v="61"/>
    </i>
    <i r="2">
      <x v="70"/>
      <x v="257"/>
    </i>
    <i r="3">
      <x v="439"/>
    </i>
    <i t="default" r="2">
      <x v="70"/>
    </i>
    <i t="default" r="1">
      <x v="3"/>
    </i>
    <i t="default">
      <x v="18"/>
    </i>
    <i>
      <x v="19"/>
      <x v="4"/>
      <x v="35"/>
      <x v="185"/>
    </i>
    <i r="3">
      <x v="186"/>
    </i>
    <i r="3">
      <x v="187"/>
    </i>
    <i r="3">
      <x v="188"/>
    </i>
    <i r="3">
      <x v="189"/>
    </i>
    <i r="3">
      <x v="202"/>
    </i>
    <i r="3">
      <x v="203"/>
    </i>
    <i r="3">
      <x v="204"/>
    </i>
    <i r="3">
      <x v="205"/>
    </i>
    <i r="3">
      <x v="234"/>
    </i>
    <i t="default" r="2">
      <x v="35"/>
    </i>
    <i r="2">
      <x v="52"/>
      <x v="36"/>
    </i>
    <i r="3">
      <x v="37"/>
    </i>
    <i r="3">
      <x v="444"/>
    </i>
    <i t="default" r="2">
      <x v="52"/>
    </i>
    <i t="default" r="1">
      <x v="4"/>
    </i>
    <i t="default">
      <x v="19"/>
    </i>
    <i>
      <x v="20"/>
      <x v="11"/>
      <x v="4"/>
      <x v="31"/>
    </i>
    <i t="default" r="2">
      <x v="4"/>
    </i>
    <i r="2">
      <x v="16"/>
      <x v="114"/>
    </i>
    <i t="default" r="2">
      <x v="16"/>
    </i>
    <i r="2">
      <x v="18"/>
      <x v="27"/>
    </i>
    <i r="3">
      <x v="28"/>
    </i>
    <i r="3">
      <x v="29"/>
    </i>
    <i r="3">
      <x v="206"/>
    </i>
    <i r="3">
      <x v="443"/>
    </i>
    <i t="default" r="2">
      <x v="18"/>
    </i>
    <i r="2">
      <x v="19"/>
      <x v="34"/>
    </i>
    <i r="3">
      <x v="35"/>
    </i>
    <i t="default" r="2">
      <x v="19"/>
    </i>
    <i r="2">
      <x v="20"/>
      <x v="18"/>
    </i>
    <i r="3">
      <x v="80"/>
    </i>
    <i r="3">
      <x v="154"/>
    </i>
    <i r="3">
      <x v="158"/>
    </i>
    <i r="3">
      <x v="258"/>
    </i>
    <i r="3">
      <x v="294"/>
    </i>
    <i r="3">
      <x v="311"/>
    </i>
    <i r="3">
      <x v="373"/>
    </i>
    <i r="3">
      <x v="379"/>
    </i>
    <i r="3">
      <x v="423"/>
    </i>
    <i r="3">
      <x v="433"/>
    </i>
    <i r="3">
      <x v="451"/>
    </i>
    <i r="3">
      <x v="514"/>
    </i>
    <i t="default" r="2">
      <x v="20"/>
    </i>
    <i r="2">
      <x v="21"/>
      <x v="179"/>
    </i>
    <i t="default" r="2">
      <x v="21"/>
    </i>
    <i r="2">
      <x v="22"/>
      <x v="73"/>
    </i>
    <i r="3">
      <x v="155"/>
    </i>
    <i r="3">
      <x v="156"/>
    </i>
    <i r="3">
      <x v="237"/>
    </i>
    <i r="3">
      <x v="295"/>
    </i>
    <i r="3">
      <x v="296"/>
    </i>
    <i r="3">
      <x v="322"/>
    </i>
    <i r="3">
      <x v="489"/>
    </i>
    <i r="3">
      <x v="528"/>
    </i>
    <i r="3">
      <x v="529"/>
    </i>
    <i t="default" r="2">
      <x v="22"/>
    </i>
    <i r="2">
      <x v="23"/>
      <x v="19"/>
    </i>
    <i t="default" r="2">
      <x v="23"/>
    </i>
    <i r="2">
      <x v="24"/>
      <x v="44"/>
    </i>
    <i r="3">
      <x v="274"/>
    </i>
    <i r="3">
      <x v="275"/>
    </i>
    <i r="3">
      <x v="278"/>
    </i>
    <i r="3">
      <x v="280"/>
    </i>
    <i t="default" r="2">
      <x v="24"/>
    </i>
    <i r="2">
      <x v="25"/>
      <x v="442"/>
    </i>
    <i t="default" r="2">
      <x v="25"/>
    </i>
    <i r="2">
      <x v="26"/>
      <x v="47"/>
    </i>
    <i r="3">
      <x v="82"/>
    </i>
    <i r="3">
      <x v="84"/>
    </i>
    <i r="3">
      <x v="122"/>
    </i>
    <i r="3">
      <x v="123"/>
    </i>
    <i r="3">
      <x v="125"/>
    </i>
    <i r="3">
      <x v="133"/>
    </i>
    <i r="3">
      <x v="183"/>
    </i>
    <i r="3">
      <x v="190"/>
    </i>
    <i r="3">
      <x v="191"/>
    </i>
    <i r="3">
      <x v="192"/>
    </i>
    <i r="3">
      <x v="193"/>
    </i>
    <i r="3">
      <x v="194"/>
    </i>
    <i r="3">
      <x v="195"/>
    </i>
    <i r="3">
      <x v="196"/>
    </i>
    <i r="3">
      <x v="197"/>
    </i>
    <i r="3">
      <x v="198"/>
    </i>
    <i r="3">
      <x v="200"/>
    </i>
    <i r="3">
      <x v="229"/>
    </i>
    <i r="3">
      <x v="233"/>
    </i>
    <i r="3">
      <x v="271"/>
    </i>
    <i r="3">
      <x v="272"/>
    </i>
    <i r="3">
      <x v="273"/>
    </i>
    <i r="3">
      <x v="304"/>
    </i>
    <i r="3">
      <x v="305"/>
    </i>
    <i r="3">
      <x v="306"/>
    </i>
    <i r="3">
      <x v="307"/>
    </i>
    <i r="3">
      <x v="308"/>
    </i>
    <i r="3">
      <x v="323"/>
    </i>
    <i r="3">
      <x v="363"/>
    </i>
    <i r="3">
      <x v="377"/>
    </i>
    <i r="3">
      <x v="400"/>
    </i>
    <i r="3">
      <x v="460"/>
    </i>
    <i r="3">
      <x v="486"/>
    </i>
    <i r="3">
      <x v="487"/>
    </i>
    <i r="3">
      <x v="488"/>
    </i>
    <i r="3">
      <x v="490"/>
    </i>
    <i r="3">
      <x v="536"/>
    </i>
    <i t="default" r="2">
      <x v="26"/>
    </i>
    <i r="2">
      <x v="27"/>
      <x v="165"/>
    </i>
    <i r="3">
      <x v="279"/>
    </i>
    <i t="default" r="2">
      <x v="27"/>
    </i>
    <i r="2">
      <x v="28"/>
      <x v="291"/>
    </i>
    <i r="3">
      <x v="292"/>
    </i>
    <i r="3">
      <x v="375"/>
    </i>
    <i t="default" r="2">
      <x v="28"/>
    </i>
    <i r="2">
      <x v="29"/>
      <x v="496"/>
    </i>
    <i r="3">
      <x v="497"/>
    </i>
    <i t="default" r="2">
      <x v="29"/>
    </i>
    <i r="2">
      <x v="30"/>
      <x v="470"/>
    </i>
    <i t="default" r="2">
      <x v="30"/>
    </i>
    <i r="2">
      <x v="31"/>
      <x v="77"/>
    </i>
    <i r="3">
      <x v="78"/>
    </i>
    <i r="3">
      <x v="476"/>
    </i>
    <i t="default" r="2">
      <x v="31"/>
    </i>
    <i r="2">
      <x v="40"/>
      <x v="135"/>
    </i>
    <i t="default" r="2">
      <x v="40"/>
    </i>
    <i r="2">
      <x v="41"/>
      <x v="366"/>
    </i>
    <i t="default" r="2">
      <x v="41"/>
    </i>
    <i r="2">
      <x v="42"/>
      <x v="43"/>
    </i>
    <i r="3">
      <x v="49"/>
    </i>
    <i r="3">
      <x v="50"/>
    </i>
    <i r="3">
      <x v="129"/>
    </i>
    <i r="3">
      <x v="130"/>
    </i>
    <i r="3">
      <x v="132"/>
    </i>
    <i r="3">
      <x v="134"/>
    </i>
    <i r="3">
      <x v="472"/>
    </i>
    <i r="3">
      <x v="506"/>
    </i>
    <i r="3">
      <x v="507"/>
    </i>
    <i t="default" r="2">
      <x v="42"/>
    </i>
    <i r="2">
      <x v="43"/>
      <x v="289"/>
    </i>
    <i r="3">
      <x v="290"/>
    </i>
    <i r="3">
      <x v="298"/>
    </i>
    <i r="3">
      <x v="349"/>
    </i>
    <i r="3">
      <x v="481"/>
    </i>
    <i t="default" r="2">
      <x v="43"/>
    </i>
    <i r="2">
      <x v="44"/>
      <x v="68"/>
    </i>
    <i r="3">
      <x v="69"/>
    </i>
    <i r="3">
      <x v="131"/>
    </i>
    <i r="3">
      <x v="287"/>
    </i>
    <i r="3">
      <x v="313"/>
    </i>
    <i r="3">
      <x v="347"/>
    </i>
    <i r="3">
      <x v="362"/>
    </i>
    <i r="3">
      <x v="441"/>
    </i>
    <i t="default" r="2">
      <x v="44"/>
    </i>
    <i r="2">
      <x v="45"/>
      <x v="408"/>
    </i>
    <i t="default" r="2">
      <x v="45"/>
    </i>
    <i r="2">
      <x v="46"/>
      <x v="352"/>
    </i>
    <i t="default" r="2">
      <x v="46"/>
    </i>
    <i r="2">
      <x v="47"/>
      <x v="508"/>
    </i>
    <i t="default" r="2">
      <x v="47"/>
    </i>
    <i r="2">
      <x v="48"/>
      <x v="374"/>
    </i>
    <i t="default" r="2">
      <x v="48"/>
    </i>
    <i r="2">
      <x v="49"/>
      <x v="48"/>
    </i>
    <i r="3">
      <x v="67"/>
    </i>
    <i r="3">
      <x v="240"/>
    </i>
    <i r="3">
      <x v="241"/>
    </i>
    <i r="3">
      <x v="242"/>
    </i>
    <i r="3">
      <x v="243"/>
    </i>
    <i r="3">
      <x v="288"/>
    </i>
    <i t="default" r="2">
      <x v="49"/>
    </i>
    <i r="2">
      <x v="67"/>
      <x v="4"/>
    </i>
    <i r="3">
      <x v="178"/>
    </i>
    <i t="default" r="2">
      <x v="67"/>
    </i>
    <i r="2">
      <x v="68"/>
      <x v="70"/>
    </i>
    <i r="3">
      <x v="71"/>
    </i>
    <i r="3">
      <x v="127"/>
    </i>
    <i t="default" r="2">
      <x v="68"/>
    </i>
    <i r="2">
      <x v="69"/>
      <x v="177"/>
    </i>
    <i t="default" r="2">
      <x v="69"/>
    </i>
    <i t="default" r="1">
      <x v="11"/>
    </i>
    <i t="default">
      <x v="20"/>
    </i>
    <i>
      <x v="21"/>
      <x v="8"/>
      <x v="51"/>
      <x v="282"/>
    </i>
    <i t="default" r="2">
      <x v="51"/>
    </i>
    <i t="default" r="1">
      <x v="8"/>
    </i>
    <i t="default">
      <x v="21"/>
    </i>
    <i t="grand">
      <x/>
    </i>
  </rowItems>
  <colFields count="1">
    <field x="-2"/>
  </colFields>
  <colItems count="4">
    <i>
      <x/>
    </i>
    <i i="1">
      <x v="1"/>
    </i>
    <i i="2">
      <x v="2"/>
    </i>
    <i i="3">
      <x v="3"/>
    </i>
  </colItems>
  <dataFields count="4">
    <dataField name="Sum of DR-March 20" fld="6" baseField="0" baseItem="0"/>
    <dataField name="Sum of CR-March 20" fld="9" baseField="0" baseItem="0"/>
    <dataField name="Sum of DR-DEC 19" fld="12" baseField="0" baseItem="0"/>
    <dataField name="Sum of CR-DEC 19" fld="15" baseField="0" baseItem="0"/>
  </dataFields>
  <formats count="219">
    <format dxfId="230">
      <pivotArea collapsedLevelsAreSubtotals="1" fieldPosition="0">
        <references count="5">
          <reference field="4294967294" count="1" selected="0">
            <x v="0"/>
          </reference>
          <reference field="0" count="1">
            <x v="5"/>
          </reference>
          <reference field="1" count="1" selected="0">
            <x v="11"/>
          </reference>
          <reference field="2" count="1" selected="0">
            <x v="22"/>
          </reference>
          <reference field="3" count="1" selected="0">
            <x v="54"/>
          </reference>
        </references>
      </pivotArea>
    </format>
    <format dxfId="229">
      <pivotArea collapsedLevelsAreSubtotals="1" fieldPosition="0">
        <references count="5">
          <reference field="4294967294" count="1" selected="0">
            <x v="0"/>
          </reference>
          <reference field="0" count="1">
            <x v="5"/>
          </reference>
          <reference field="1" count="1" selected="0">
            <x v="11"/>
          </reference>
          <reference field="2" count="1" selected="0">
            <x v="22"/>
          </reference>
          <reference field="3" count="1" selected="0">
            <x v="54"/>
          </reference>
        </references>
      </pivotArea>
    </format>
    <format dxfId="228">
      <pivotArea collapsedLevelsAreSubtotals="1" fieldPosition="0">
        <references count="5">
          <reference field="4294967294" count="1" selected="0">
            <x v="0"/>
          </reference>
          <reference field="0" count="1">
            <x v="8"/>
          </reference>
          <reference field="1" count="1" selected="0">
            <x v="11"/>
          </reference>
          <reference field="2" count="1" selected="0">
            <x v="22"/>
          </reference>
          <reference field="3" count="1" selected="0">
            <x v="54"/>
          </reference>
        </references>
      </pivotArea>
    </format>
    <format dxfId="227">
      <pivotArea collapsedLevelsAreSubtotals="1" fieldPosition="0">
        <references count="5">
          <reference field="4294967294" count="1" selected="0">
            <x v="0"/>
          </reference>
          <reference field="0" count="1">
            <x v="58"/>
          </reference>
          <reference field="1" count="1" selected="0">
            <x v="11"/>
          </reference>
          <reference field="2" count="1" selected="0">
            <x v="22"/>
          </reference>
          <reference field="3" count="1" selected="0">
            <x v="54"/>
          </reference>
        </references>
      </pivotArea>
    </format>
    <format dxfId="226">
      <pivotArea collapsedLevelsAreSubtotals="1" fieldPosition="0">
        <references count="5">
          <reference field="4294967294" count="1" selected="0">
            <x v="0"/>
          </reference>
          <reference field="0" count="1">
            <x v="79"/>
          </reference>
          <reference field="1" count="1" selected="0">
            <x v="11"/>
          </reference>
          <reference field="2" count="1" selected="0">
            <x v="22"/>
          </reference>
          <reference field="3" count="1" selected="0">
            <x v="54"/>
          </reference>
        </references>
      </pivotArea>
    </format>
    <format dxfId="225">
      <pivotArea collapsedLevelsAreSubtotals="1" fieldPosition="0">
        <references count="5">
          <reference field="4294967294" count="1" selected="0">
            <x v="1"/>
          </reference>
          <reference field="0" count="1">
            <x v="106"/>
          </reference>
          <reference field="1" count="1" selected="0">
            <x v="11"/>
          </reference>
          <reference field="2" count="1" selected="0">
            <x v="22"/>
          </reference>
          <reference field="3" count="1" selected="0">
            <x v="54"/>
          </reference>
        </references>
      </pivotArea>
    </format>
    <format dxfId="224">
      <pivotArea collapsedLevelsAreSubtotals="1" fieldPosition="0">
        <references count="5">
          <reference field="4294967294" count="1" selected="0">
            <x v="0"/>
          </reference>
          <reference field="0" count="1">
            <x v="209"/>
          </reference>
          <reference field="1" count="1" selected="0">
            <x v="11"/>
          </reference>
          <reference field="2" count="1" selected="0">
            <x v="22"/>
          </reference>
          <reference field="3" count="1" selected="0">
            <x v="54"/>
          </reference>
        </references>
      </pivotArea>
    </format>
    <format dxfId="223">
      <pivotArea collapsedLevelsAreSubtotals="1" fieldPosition="0">
        <references count="5">
          <reference field="4294967294" count="1" selected="0">
            <x v="0"/>
          </reference>
          <reference field="0" count="1">
            <x v="238"/>
          </reference>
          <reference field="1" count="1" selected="0">
            <x v="11"/>
          </reference>
          <reference field="2" count="1" selected="0">
            <x v="22"/>
          </reference>
          <reference field="3" count="1" selected="0">
            <x v="54"/>
          </reference>
        </references>
      </pivotArea>
    </format>
    <format dxfId="222">
      <pivotArea collapsedLevelsAreSubtotals="1" fieldPosition="0">
        <references count="5">
          <reference field="4294967294" count="1" selected="0">
            <x v="0"/>
          </reference>
          <reference field="0" count="1">
            <x v="284"/>
          </reference>
          <reference field="1" count="1" selected="0">
            <x v="11"/>
          </reference>
          <reference field="2" count="1" selected="0">
            <x v="22"/>
          </reference>
          <reference field="3" count="1" selected="0">
            <x v="54"/>
          </reference>
        </references>
      </pivotArea>
    </format>
    <format dxfId="221">
      <pivotArea collapsedLevelsAreSubtotals="1" fieldPosition="0">
        <references count="5">
          <reference field="4294967294" count="1" selected="0">
            <x v="0"/>
          </reference>
          <reference field="0" count="1">
            <x v="299"/>
          </reference>
          <reference field="1" count="1" selected="0">
            <x v="11"/>
          </reference>
          <reference field="2" count="1" selected="0">
            <x v="22"/>
          </reference>
          <reference field="3" count="1" selected="0">
            <x v="54"/>
          </reference>
        </references>
      </pivotArea>
    </format>
    <format dxfId="220">
      <pivotArea collapsedLevelsAreSubtotals="1" fieldPosition="0">
        <references count="5">
          <reference field="4294967294" count="1" selected="0">
            <x v="0"/>
          </reference>
          <reference field="0" count="1">
            <x v="317"/>
          </reference>
          <reference field="1" count="1" selected="0">
            <x v="11"/>
          </reference>
          <reference field="2" count="1" selected="0">
            <x v="22"/>
          </reference>
          <reference field="3" count="1" selected="0">
            <x v="54"/>
          </reference>
        </references>
      </pivotArea>
    </format>
    <format dxfId="219">
      <pivotArea collapsedLevelsAreSubtotals="1" fieldPosition="0">
        <references count="5">
          <reference field="4294967294" count="1" selected="0">
            <x v="0"/>
          </reference>
          <reference field="0" count="1">
            <x v="355"/>
          </reference>
          <reference field="1" count="1" selected="0">
            <x v="11"/>
          </reference>
          <reference field="2" count="1" selected="0">
            <x v="22"/>
          </reference>
          <reference field="3" count="1" selected="0">
            <x v="54"/>
          </reference>
        </references>
      </pivotArea>
    </format>
    <format dxfId="218">
      <pivotArea collapsedLevelsAreSubtotals="1" fieldPosition="0">
        <references count="5">
          <reference field="4294967294" count="1" selected="0">
            <x v="0"/>
          </reference>
          <reference field="0" count="1">
            <x v="417"/>
          </reference>
          <reference field="1" count="1" selected="0">
            <x v="11"/>
          </reference>
          <reference field="2" count="1" selected="0">
            <x v="22"/>
          </reference>
          <reference field="3" count="1" selected="0">
            <x v="54"/>
          </reference>
        </references>
      </pivotArea>
    </format>
    <format dxfId="217">
      <pivotArea collapsedLevelsAreSubtotals="1" fieldPosition="0">
        <references count="5">
          <reference field="4294967294" count="1" selected="0">
            <x v="0"/>
          </reference>
          <reference field="0" count="1">
            <x v="418"/>
          </reference>
          <reference field="1" count="1" selected="0">
            <x v="11"/>
          </reference>
          <reference field="2" count="1" selected="0">
            <x v="22"/>
          </reference>
          <reference field="3" count="1" selected="0">
            <x v="54"/>
          </reference>
        </references>
      </pivotArea>
    </format>
    <format dxfId="216">
      <pivotArea collapsedLevelsAreSubtotals="1" fieldPosition="0">
        <references count="5">
          <reference field="4294967294" count="1" selected="0">
            <x v="0"/>
          </reference>
          <reference field="0" count="1">
            <x v="425"/>
          </reference>
          <reference field="1" count="1" selected="0">
            <x v="11"/>
          </reference>
          <reference field="2" count="1" selected="0">
            <x v="22"/>
          </reference>
          <reference field="3" count="1" selected="0">
            <x v="54"/>
          </reference>
        </references>
      </pivotArea>
    </format>
    <format dxfId="215">
      <pivotArea collapsedLevelsAreSubtotals="1" fieldPosition="0">
        <references count="5">
          <reference field="4294967294" count="1" selected="0">
            <x v="1"/>
          </reference>
          <reference field="0" count="1">
            <x v="225"/>
          </reference>
          <reference field="1" count="1" selected="0">
            <x v="11"/>
          </reference>
          <reference field="2" count="1" selected="0">
            <x v="22"/>
          </reference>
          <reference field="3" count="1" selected="0">
            <x v="54"/>
          </reference>
        </references>
      </pivotArea>
    </format>
    <format dxfId="214">
      <pivotArea collapsedLevelsAreSubtotals="1" fieldPosition="0">
        <references count="5">
          <reference field="4294967294" count="1" selected="0">
            <x v="0"/>
          </reference>
          <reference field="0" count="1">
            <x v="245"/>
          </reference>
          <reference field="1" count="1" selected="0">
            <x v="13"/>
          </reference>
          <reference field="2" count="1" selected="0">
            <x v="19"/>
          </reference>
          <reference field="3" count="1" selected="0">
            <x v="2"/>
          </reference>
        </references>
      </pivotArea>
    </format>
    <format dxfId="213">
      <pivotArea collapsedLevelsAreSubtotals="1" fieldPosition="0">
        <references count="5">
          <reference field="4294967294" count="1" selected="0">
            <x v="0"/>
          </reference>
          <reference field="0" count="1">
            <x v="63"/>
          </reference>
          <reference field="1" count="1" selected="0">
            <x v="17"/>
          </reference>
          <reference field="2" count="1" selected="0">
            <x v="14"/>
          </reference>
          <reference field="3" count="1" selected="0">
            <x v="60"/>
          </reference>
        </references>
      </pivotArea>
    </format>
    <format dxfId="212">
      <pivotArea collapsedLevelsAreSubtotals="1" fieldPosition="0">
        <references count="5">
          <reference field="4294967294" count="1" selected="0">
            <x v="0"/>
          </reference>
          <reference field="0" count="1">
            <x v="480"/>
          </reference>
          <reference field="1" count="1" selected="0">
            <x v="17"/>
          </reference>
          <reference field="2" count="1" selected="0">
            <x v="14"/>
          </reference>
          <reference field="3" count="1" selected="0">
            <x v="60"/>
          </reference>
        </references>
      </pivotArea>
    </format>
    <format dxfId="211">
      <pivotArea collapsedLevelsAreSubtotals="1" fieldPosition="0">
        <references count="5">
          <reference field="4294967294" count="1" selected="0">
            <x v="0"/>
          </reference>
          <reference field="0" count="1">
            <x v="346"/>
          </reference>
          <reference field="1" count="1" selected="0">
            <x v="17"/>
          </reference>
          <reference field="2" count="1" selected="0">
            <x v="14"/>
          </reference>
          <reference field="3" count="1" selected="0">
            <x v="60"/>
          </reference>
        </references>
      </pivotArea>
    </format>
    <format dxfId="210">
      <pivotArea collapsedLevelsAreSubtotals="1" fieldPosition="0">
        <references count="5">
          <reference field="4294967294" count="1" selected="0">
            <x v="0"/>
          </reference>
          <reference field="0" count="1">
            <x v="285"/>
          </reference>
          <reference field="1" count="1" selected="0">
            <x v="17"/>
          </reference>
          <reference field="2" count="1" selected="0">
            <x v="14"/>
          </reference>
          <reference field="3" count="1" selected="0">
            <x v="60"/>
          </reference>
        </references>
      </pivotArea>
    </format>
    <format dxfId="209">
      <pivotArea collapsedLevelsAreSubtotals="1" fieldPosition="0">
        <references count="5">
          <reference field="4294967294" count="1" selected="0">
            <x v="0"/>
          </reference>
          <reference field="0" count="1">
            <x v="286"/>
          </reference>
          <reference field="1" count="1" selected="0">
            <x v="17"/>
          </reference>
          <reference field="2" count="1" selected="0">
            <x v="14"/>
          </reference>
          <reference field="3" count="1" selected="0">
            <x v="60"/>
          </reference>
        </references>
      </pivotArea>
    </format>
    <format dxfId="208">
      <pivotArea collapsedLevelsAreSubtotals="1" fieldPosition="0">
        <references count="5">
          <reference field="4294967294" count="1" selected="0">
            <x v="0"/>
          </reference>
          <reference field="0" count="1">
            <x v="66"/>
          </reference>
          <reference field="1" count="1" selected="0">
            <x v="17"/>
          </reference>
          <reference field="2" count="1" selected="0">
            <x v="14"/>
          </reference>
          <reference field="3" count="1" selected="0">
            <x v="60"/>
          </reference>
        </references>
      </pivotArea>
    </format>
    <format dxfId="207">
      <pivotArea collapsedLevelsAreSubtotals="1" fieldPosition="0">
        <references count="5">
          <reference field="4294967294" count="1" selected="0">
            <x v="0"/>
          </reference>
          <reference field="0" count="1">
            <x v="143"/>
          </reference>
          <reference field="1" count="1" selected="0">
            <x v="17"/>
          </reference>
          <reference field="2" count="1" selected="0">
            <x v="14"/>
          </reference>
          <reference field="3" count="1" selected="0">
            <x v="60"/>
          </reference>
        </references>
      </pivotArea>
    </format>
    <format dxfId="206">
      <pivotArea collapsedLevelsAreSubtotals="1" fieldPosition="0">
        <references count="5">
          <reference field="4294967294" count="1" selected="0">
            <x v="0"/>
          </reference>
          <reference field="0" count="1">
            <x v="351"/>
          </reference>
          <reference field="1" count="1" selected="0">
            <x v="17"/>
          </reference>
          <reference field="2" count="1" selected="0">
            <x v="14"/>
          </reference>
          <reference field="3" count="1" selected="0">
            <x v="60"/>
          </reference>
        </references>
      </pivotArea>
    </format>
    <format dxfId="205">
      <pivotArea collapsedLevelsAreSubtotals="1" fieldPosition="0">
        <references count="5">
          <reference field="4294967294" count="1" selected="0">
            <x v="0"/>
          </reference>
          <reference field="0" count="1">
            <x v="348"/>
          </reference>
          <reference field="1" count="1" selected="0">
            <x v="17"/>
          </reference>
          <reference field="2" count="1" selected="0">
            <x v="14"/>
          </reference>
          <reference field="3" count="1" selected="0">
            <x v="60"/>
          </reference>
        </references>
      </pivotArea>
    </format>
    <format dxfId="204">
      <pivotArea collapsedLevelsAreSubtotals="1" fieldPosition="0">
        <references count="5">
          <reference field="4294967294" count="1" selected="0">
            <x v="0"/>
          </reference>
          <reference field="0" count="1">
            <x v="293"/>
          </reference>
          <reference field="1" count="1" selected="0">
            <x v="17"/>
          </reference>
          <reference field="2" count="1" selected="0">
            <x v="14"/>
          </reference>
          <reference field="3" count="1" selected="0">
            <x v="60"/>
          </reference>
        </references>
      </pivotArea>
    </format>
    <format dxfId="203">
      <pivotArea collapsedLevelsAreSubtotals="1" fieldPosition="0">
        <references count="5">
          <reference field="4294967294" count="1" selected="0">
            <x v="0"/>
          </reference>
          <reference field="0" count="1">
            <x v="170"/>
          </reference>
          <reference field="1" count="1" selected="0">
            <x v="17"/>
          </reference>
          <reference field="2" count="1" selected="0">
            <x v="14"/>
          </reference>
          <reference field="3" count="1" selected="0">
            <x v="60"/>
          </reference>
        </references>
      </pivotArea>
    </format>
    <format dxfId="202">
      <pivotArea collapsedLevelsAreSubtotals="1" fieldPosition="0">
        <references count="5">
          <reference field="4294967294" count="1" selected="0">
            <x v="0"/>
          </reference>
          <reference field="0" count="1">
            <x v="509"/>
          </reference>
          <reference field="1" count="1" selected="0">
            <x v="17"/>
          </reference>
          <reference field="2" count="1" selected="0">
            <x v="14"/>
          </reference>
          <reference field="3" count="1" selected="0">
            <x v="60"/>
          </reference>
        </references>
      </pivotArea>
    </format>
    <format dxfId="201">
      <pivotArea collapsedLevelsAreSubtotals="1" fieldPosition="0">
        <references count="5">
          <reference field="4294967294" count="1" selected="0">
            <x v="0"/>
          </reference>
          <reference field="0" count="1">
            <x v="479"/>
          </reference>
          <reference field="1" count="1" selected="0">
            <x v="17"/>
          </reference>
          <reference field="2" count="1" selected="0">
            <x v="14"/>
          </reference>
          <reference field="3" count="1" selected="0">
            <x v="60"/>
          </reference>
        </references>
      </pivotArea>
    </format>
    <format dxfId="200">
      <pivotArea collapsedLevelsAreSubtotals="1" fieldPosition="0">
        <references count="5">
          <reference field="4294967294" count="1" selected="0">
            <x v="0"/>
          </reference>
          <reference field="0" count="1">
            <x v="350"/>
          </reference>
          <reference field="1" count="1" selected="0">
            <x v="17"/>
          </reference>
          <reference field="2" count="1" selected="0">
            <x v="14"/>
          </reference>
          <reference field="3" count="1" selected="0">
            <x v="60"/>
          </reference>
        </references>
      </pivotArea>
    </format>
    <format dxfId="199">
      <pivotArea collapsedLevelsAreSubtotals="1" fieldPosition="0">
        <references count="5">
          <reference field="4294967294" count="1" selected="0">
            <x v="0"/>
          </reference>
          <reference field="0" count="1">
            <x v="126"/>
          </reference>
          <reference field="1" count="1" selected="0">
            <x v="17"/>
          </reference>
          <reference field="2" count="1" selected="0">
            <x v="14"/>
          </reference>
          <reference field="3" count="1" selected="0">
            <x v="60"/>
          </reference>
        </references>
      </pivotArea>
    </format>
    <format dxfId="198">
      <pivotArea type="all" dataOnly="0" outline="0" fieldPosition="0"/>
    </format>
    <format dxfId="197">
      <pivotArea outline="0" collapsedLevelsAreSubtotals="1" fieldPosition="0"/>
    </format>
    <format dxfId="196">
      <pivotArea field="1" type="button" dataOnly="0" labelOnly="1" outline="0" axis="axisRow" fieldPosition="0"/>
    </format>
    <format dxfId="195">
      <pivotArea field="2" type="button" dataOnly="0" labelOnly="1" outline="0" axis="axisRow" fieldPosition="1"/>
    </format>
    <format dxfId="194">
      <pivotArea field="3" type="button" dataOnly="0" labelOnly="1" outline="0" axis="axisRow" fieldPosition="2"/>
    </format>
    <format dxfId="193">
      <pivotArea field="0" type="button" dataOnly="0" labelOnly="1" outline="0" axis="axisRow" fieldPosition="3"/>
    </format>
    <format dxfId="192">
      <pivotArea dataOnly="0" labelOnly="1" fieldPosition="0">
        <references count="1">
          <reference field="1" count="0"/>
        </references>
      </pivotArea>
    </format>
    <format dxfId="191">
      <pivotArea dataOnly="0" labelOnly="1" fieldPosition="0">
        <references count="1">
          <reference field="1" count="0" defaultSubtotal="1"/>
        </references>
      </pivotArea>
    </format>
    <format dxfId="190">
      <pivotArea dataOnly="0" labelOnly="1" grandRow="1" outline="0" fieldPosition="0"/>
    </format>
    <format dxfId="189">
      <pivotArea dataOnly="0" labelOnly="1" fieldPosition="0">
        <references count="2">
          <reference field="1" count="1" selected="0">
            <x v="0"/>
          </reference>
          <reference field="2" count="1">
            <x v="17"/>
          </reference>
        </references>
      </pivotArea>
    </format>
    <format dxfId="188">
      <pivotArea dataOnly="0" labelOnly="1" fieldPosition="0">
        <references count="2">
          <reference field="1" count="1" selected="0">
            <x v="0"/>
          </reference>
          <reference field="2" count="1" defaultSubtotal="1">
            <x v="17"/>
          </reference>
        </references>
      </pivotArea>
    </format>
    <format dxfId="187">
      <pivotArea dataOnly="0" labelOnly="1" fieldPosition="0">
        <references count="2">
          <reference field="1" count="1" selected="0">
            <x v="1"/>
          </reference>
          <reference field="2" count="1">
            <x v="15"/>
          </reference>
        </references>
      </pivotArea>
    </format>
    <format dxfId="186">
      <pivotArea dataOnly="0" labelOnly="1" fieldPosition="0">
        <references count="2">
          <reference field="1" count="1" selected="0">
            <x v="1"/>
          </reference>
          <reference field="2" count="1" defaultSubtotal="1">
            <x v="15"/>
          </reference>
        </references>
      </pivotArea>
    </format>
    <format dxfId="185">
      <pivotArea dataOnly="0" labelOnly="1" fieldPosition="0">
        <references count="2">
          <reference field="1" count="1" selected="0">
            <x v="2"/>
          </reference>
          <reference field="2" count="1">
            <x v="6"/>
          </reference>
        </references>
      </pivotArea>
    </format>
    <format dxfId="184">
      <pivotArea dataOnly="0" labelOnly="1" fieldPosition="0">
        <references count="2">
          <reference field="1" count="1" selected="0">
            <x v="2"/>
          </reference>
          <reference field="2" count="1" defaultSubtotal="1">
            <x v="6"/>
          </reference>
        </references>
      </pivotArea>
    </format>
    <format dxfId="183">
      <pivotArea dataOnly="0" labelOnly="1" fieldPosition="0">
        <references count="2">
          <reference field="1" count="1" selected="0">
            <x v="3"/>
          </reference>
          <reference field="2" count="1">
            <x v="1"/>
          </reference>
        </references>
      </pivotArea>
    </format>
    <format dxfId="182">
      <pivotArea dataOnly="0" labelOnly="1" fieldPosition="0">
        <references count="2">
          <reference field="1" count="1" selected="0">
            <x v="3"/>
          </reference>
          <reference field="2" count="1" defaultSubtotal="1">
            <x v="1"/>
          </reference>
        </references>
      </pivotArea>
    </format>
    <format dxfId="181">
      <pivotArea dataOnly="0" labelOnly="1" fieldPosition="0">
        <references count="2">
          <reference field="1" count="1" selected="0">
            <x v="4"/>
          </reference>
          <reference field="2" count="1">
            <x v="18"/>
          </reference>
        </references>
      </pivotArea>
    </format>
    <format dxfId="180">
      <pivotArea dataOnly="0" labelOnly="1" fieldPosition="0">
        <references count="2">
          <reference field="1" count="1" selected="0">
            <x v="4"/>
          </reference>
          <reference field="2" count="1" defaultSubtotal="1">
            <x v="18"/>
          </reference>
        </references>
      </pivotArea>
    </format>
    <format dxfId="179">
      <pivotArea dataOnly="0" labelOnly="1" fieldPosition="0">
        <references count="2">
          <reference field="1" count="1" selected="0">
            <x v="5"/>
          </reference>
          <reference field="2" count="1">
            <x v="21"/>
          </reference>
        </references>
      </pivotArea>
    </format>
    <format dxfId="178">
      <pivotArea dataOnly="0" labelOnly="1" fieldPosition="0">
        <references count="2">
          <reference field="1" count="1" selected="0">
            <x v="5"/>
          </reference>
          <reference field="2" count="1" defaultSubtotal="1">
            <x v="21"/>
          </reference>
        </references>
      </pivotArea>
    </format>
    <format dxfId="177">
      <pivotArea dataOnly="0" labelOnly="1" fieldPosition="0">
        <references count="2">
          <reference field="1" count="1" selected="0">
            <x v="6"/>
          </reference>
          <reference field="2" count="2">
            <x v="7"/>
            <x v="10"/>
          </reference>
        </references>
      </pivotArea>
    </format>
    <format dxfId="176">
      <pivotArea dataOnly="0" labelOnly="1" fieldPosition="0">
        <references count="2">
          <reference field="1" count="1" selected="0">
            <x v="6"/>
          </reference>
          <reference field="2" count="2" defaultSubtotal="1">
            <x v="7"/>
            <x v="10"/>
          </reference>
        </references>
      </pivotArea>
    </format>
    <format dxfId="175">
      <pivotArea dataOnly="0" labelOnly="1" fieldPosition="0">
        <references count="2">
          <reference field="1" count="1" selected="0">
            <x v="7"/>
          </reference>
          <reference field="2" count="1">
            <x v="20"/>
          </reference>
        </references>
      </pivotArea>
    </format>
    <format dxfId="174">
      <pivotArea dataOnly="0" labelOnly="1" fieldPosition="0">
        <references count="2">
          <reference field="1" count="1" selected="0">
            <x v="7"/>
          </reference>
          <reference field="2" count="1" defaultSubtotal="1">
            <x v="20"/>
          </reference>
        </references>
      </pivotArea>
    </format>
    <format dxfId="173">
      <pivotArea dataOnly="0" labelOnly="1" fieldPosition="0">
        <references count="2">
          <reference field="1" count="1" selected="0">
            <x v="8"/>
          </reference>
          <reference field="2" count="2">
            <x v="2"/>
            <x v="5"/>
          </reference>
        </references>
      </pivotArea>
    </format>
    <format dxfId="172">
      <pivotArea dataOnly="0" labelOnly="1" fieldPosition="0">
        <references count="2">
          <reference field="1" count="1" selected="0">
            <x v="8"/>
          </reference>
          <reference field="2" count="2" defaultSubtotal="1">
            <x v="2"/>
            <x v="5"/>
          </reference>
        </references>
      </pivotArea>
    </format>
    <format dxfId="171">
      <pivotArea dataOnly="0" labelOnly="1" fieldPosition="0">
        <references count="2">
          <reference field="1" count="1" selected="0">
            <x v="9"/>
          </reference>
          <reference field="2" count="1">
            <x v="7"/>
          </reference>
        </references>
      </pivotArea>
    </format>
    <format dxfId="170">
      <pivotArea dataOnly="0" labelOnly="1" fieldPosition="0">
        <references count="2">
          <reference field="1" count="1" selected="0">
            <x v="9"/>
          </reference>
          <reference field="2" count="1" defaultSubtotal="1">
            <x v="7"/>
          </reference>
        </references>
      </pivotArea>
    </format>
    <format dxfId="169">
      <pivotArea dataOnly="0" labelOnly="1" fieldPosition="0">
        <references count="2">
          <reference field="1" count="1" selected="0">
            <x v="10"/>
          </reference>
          <reference field="2" count="1">
            <x v="13"/>
          </reference>
        </references>
      </pivotArea>
    </format>
    <format dxfId="168">
      <pivotArea dataOnly="0" labelOnly="1" fieldPosition="0">
        <references count="2">
          <reference field="1" count="1" selected="0">
            <x v="10"/>
          </reference>
          <reference field="2" count="1" defaultSubtotal="1">
            <x v="13"/>
          </reference>
        </references>
      </pivotArea>
    </format>
    <format dxfId="167">
      <pivotArea dataOnly="0" labelOnly="1" fieldPosition="0">
        <references count="2">
          <reference field="1" count="1" selected="0">
            <x v="11"/>
          </reference>
          <reference field="2" count="1">
            <x v="22"/>
          </reference>
        </references>
      </pivotArea>
    </format>
    <format dxfId="166">
      <pivotArea dataOnly="0" labelOnly="1" fieldPosition="0">
        <references count="2">
          <reference field="1" count="1" selected="0">
            <x v="11"/>
          </reference>
          <reference field="2" count="1" defaultSubtotal="1">
            <x v="22"/>
          </reference>
        </references>
      </pivotArea>
    </format>
    <format dxfId="165">
      <pivotArea dataOnly="0" labelOnly="1" fieldPosition="0">
        <references count="2">
          <reference field="1" count="1" selected="0">
            <x v="12"/>
          </reference>
          <reference field="2" count="1">
            <x v="0"/>
          </reference>
        </references>
      </pivotArea>
    </format>
    <format dxfId="164">
      <pivotArea dataOnly="0" labelOnly="1" fieldPosition="0">
        <references count="2">
          <reference field="1" count="1" selected="0">
            <x v="12"/>
          </reference>
          <reference field="2" count="1" defaultSubtotal="1">
            <x v="0"/>
          </reference>
        </references>
      </pivotArea>
    </format>
    <format dxfId="163">
      <pivotArea dataOnly="0" labelOnly="1" fieldPosition="0">
        <references count="2">
          <reference field="1" count="1" selected="0">
            <x v="13"/>
          </reference>
          <reference field="2" count="1">
            <x v="19"/>
          </reference>
        </references>
      </pivotArea>
    </format>
    <format dxfId="162">
      <pivotArea dataOnly="0" labelOnly="1" fieldPosition="0">
        <references count="2">
          <reference field="1" count="1" selected="0">
            <x v="13"/>
          </reference>
          <reference field="2" count="1" defaultSubtotal="1">
            <x v="19"/>
          </reference>
        </references>
      </pivotArea>
    </format>
    <format dxfId="161">
      <pivotArea dataOnly="0" labelOnly="1" fieldPosition="0">
        <references count="2">
          <reference field="1" count="1" selected="0">
            <x v="14"/>
          </reference>
          <reference field="2" count="1">
            <x v="9"/>
          </reference>
        </references>
      </pivotArea>
    </format>
    <format dxfId="160">
      <pivotArea dataOnly="0" labelOnly="1" fieldPosition="0">
        <references count="2">
          <reference field="1" count="1" selected="0">
            <x v="14"/>
          </reference>
          <reference field="2" count="1" defaultSubtotal="1">
            <x v="9"/>
          </reference>
        </references>
      </pivotArea>
    </format>
    <format dxfId="159">
      <pivotArea dataOnly="0" labelOnly="1" fieldPosition="0">
        <references count="2">
          <reference field="1" count="1" selected="0">
            <x v="15"/>
          </reference>
          <reference field="2" count="1">
            <x v="16"/>
          </reference>
        </references>
      </pivotArea>
    </format>
    <format dxfId="158">
      <pivotArea dataOnly="0" labelOnly="1" fieldPosition="0">
        <references count="2">
          <reference field="1" count="1" selected="0">
            <x v="15"/>
          </reference>
          <reference field="2" count="1" defaultSubtotal="1">
            <x v="16"/>
          </reference>
        </references>
      </pivotArea>
    </format>
    <format dxfId="157">
      <pivotArea dataOnly="0" labelOnly="1" fieldPosition="0">
        <references count="2">
          <reference field="1" count="1" selected="0">
            <x v="16"/>
          </reference>
          <reference field="2" count="1">
            <x v="12"/>
          </reference>
        </references>
      </pivotArea>
    </format>
    <format dxfId="156">
      <pivotArea dataOnly="0" labelOnly="1" fieldPosition="0">
        <references count="2">
          <reference field="1" count="1" selected="0">
            <x v="16"/>
          </reference>
          <reference field="2" count="1" defaultSubtotal="1">
            <x v="12"/>
          </reference>
        </references>
      </pivotArea>
    </format>
    <format dxfId="155">
      <pivotArea dataOnly="0" labelOnly="1" fieldPosition="0">
        <references count="2">
          <reference field="1" count="1" selected="0">
            <x v="17"/>
          </reference>
          <reference field="2" count="1">
            <x v="14"/>
          </reference>
        </references>
      </pivotArea>
    </format>
    <format dxfId="154">
      <pivotArea dataOnly="0" labelOnly="1" fieldPosition="0">
        <references count="2">
          <reference field="1" count="1" selected="0">
            <x v="17"/>
          </reference>
          <reference field="2" count="1" defaultSubtotal="1">
            <x v="14"/>
          </reference>
        </references>
      </pivotArea>
    </format>
    <format dxfId="153">
      <pivotArea dataOnly="0" labelOnly="1" fieldPosition="0">
        <references count="2">
          <reference field="1" count="1" selected="0">
            <x v="18"/>
          </reference>
          <reference field="2" count="1">
            <x v="3"/>
          </reference>
        </references>
      </pivotArea>
    </format>
    <format dxfId="152">
      <pivotArea dataOnly="0" labelOnly="1" fieldPosition="0">
        <references count="2">
          <reference field="1" count="1" selected="0">
            <x v="18"/>
          </reference>
          <reference field="2" count="1" defaultSubtotal="1">
            <x v="3"/>
          </reference>
        </references>
      </pivotArea>
    </format>
    <format dxfId="151">
      <pivotArea dataOnly="0" labelOnly="1" fieldPosition="0">
        <references count="2">
          <reference field="1" count="1" selected="0">
            <x v="19"/>
          </reference>
          <reference field="2" count="1">
            <x v="4"/>
          </reference>
        </references>
      </pivotArea>
    </format>
    <format dxfId="150">
      <pivotArea dataOnly="0" labelOnly="1" fieldPosition="0">
        <references count="2">
          <reference field="1" count="1" selected="0">
            <x v="19"/>
          </reference>
          <reference field="2" count="1" defaultSubtotal="1">
            <x v="4"/>
          </reference>
        </references>
      </pivotArea>
    </format>
    <format dxfId="149">
      <pivotArea dataOnly="0" labelOnly="1" fieldPosition="0">
        <references count="2">
          <reference field="1" count="1" selected="0">
            <x v="20"/>
          </reference>
          <reference field="2" count="1">
            <x v="11"/>
          </reference>
        </references>
      </pivotArea>
    </format>
    <format dxfId="148">
      <pivotArea dataOnly="0" labelOnly="1" fieldPosition="0">
        <references count="2">
          <reference field="1" count="1" selected="0">
            <x v="20"/>
          </reference>
          <reference field="2" count="1" defaultSubtotal="1">
            <x v="11"/>
          </reference>
        </references>
      </pivotArea>
    </format>
    <format dxfId="147">
      <pivotArea dataOnly="0" labelOnly="1" fieldPosition="0">
        <references count="2">
          <reference field="1" count="1" selected="0">
            <x v="21"/>
          </reference>
          <reference field="2" count="1">
            <x v="8"/>
          </reference>
        </references>
      </pivotArea>
    </format>
    <format dxfId="146">
      <pivotArea dataOnly="0" labelOnly="1" fieldPosition="0">
        <references count="2">
          <reference field="1" count="1" selected="0">
            <x v="21"/>
          </reference>
          <reference field="2" count="1" defaultSubtotal="1">
            <x v="8"/>
          </reference>
        </references>
      </pivotArea>
    </format>
    <format dxfId="145">
      <pivotArea dataOnly="0" labelOnly="1" fieldPosition="0">
        <references count="3">
          <reference field="1" count="1" selected="0">
            <x v="0"/>
          </reference>
          <reference field="2" count="1" selected="0">
            <x v="17"/>
          </reference>
          <reference field="3" count="1">
            <x v="37"/>
          </reference>
        </references>
      </pivotArea>
    </format>
    <format dxfId="144">
      <pivotArea dataOnly="0" labelOnly="1" fieldPosition="0">
        <references count="3">
          <reference field="1" count="1" selected="0">
            <x v="0"/>
          </reference>
          <reference field="2" count="1" selected="0">
            <x v="17"/>
          </reference>
          <reference field="3" count="1" defaultSubtotal="1">
            <x v="37"/>
          </reference>
        </references>
      </pivotArea>
    </format>
    <format dxfId="143">
      <pivotArea dataOnly="0" labelOnly="1" fieldPosition="0">
        <references count="3">
          <reference field="1" count="1" selected="0">
            <x v="1"/>
          </reference>
          <reference field="2" count="1" selected="0">
            <x v="15"/>
          </reference>
          <reference field="3" count="4">
            <x v="9"/>
            <x v="33"/>
            <x v="66"/>
            <x v="72"/>
          </reference>
        </references>
      </pivotArea>
    </format>
    <format dxfId="142">
      <pivotArea dataOnly="0" labelOnly="1" fieldPosition="0">
        <references count="3">
          <reference field="1" count="1" selected="0">
            <x v="1"/>
          </reference>
          <reference field="2" count="1" selected="0">
            <x v="15"/>
          </reference>
          <reference field="3" count="4" defaultSubtotal="1">
            <x v="9"/>
            <x v="33"/>
            <x v="66"/>
            <x v="72"/>
          </reference>
        </references>
      </pivotArea>
    </format>
    <format dxfId="141">
      <pivotArea dataOnly="0" labelOnly="1" fieldPosition="0">
        <references count="3">
          <reference field="1" count="1" selected="0">
            <x v="2"/>
          </reference>
          <reference field="2" count="1" selected="0">
            <x v="6"/>
          </reference>
          <reference field="3" count="3">
            <x v="63"/>
            <x v="65"/>
            <x v="79"/>
          </reference>
        </references>
      </pivotArea>
    </format>
    <format dxfId="140">
      <pivotArea dataOnly="0" labelOnly="1" fieldPosition="0">
        <references count="3">
          <reference field="1" count="1" selected="0">
            <x v="2"/>
          </reference>
          <reference field="2" count="1" selected="0">
            <x v="6"/>
          </reference>
          <reference field="3" count="3" defaultSubtotal="1">
            <x v="63"/>
            <x v="65"/>
            <x v="79"/>
          </reference>
        </references>
      </pivotArea>
    </format>
    <format dxfId="139">
      <pivotArea dataOnly="0" labelOnly="1" fieldPosition="0">
        <references count="3">
          <reference field="1" count="1" selected="0">
            <x v="3"/>
          </reference>
          <reference field="2" count="1" selected="0">
            <x v="1"/>
          </reference>
          <reference field="3" count="1">
            <x v="13"/>
          </reference>
        </references>
      </pivotArea>
    </format>
    <format dxfId="138">
      <pivotArea dataOnly="0" labelOnly="1" fieldPosition="0">
        <references count="3">
          <reference field="1" count="1" selected="0">
            <x v="3"/>
          </reference>
          <reference field="2" count="1" selected="0">
            <x v="1"/>
          </reference>
          <reference field="3" count="1" defaultSubtotal="1">
            <x v="13"/>
          </reference>
        </references>
      </pivotArea>
    </format>
    <format dxfId="137">
      <pivotArea dataOnly="0" labelOnly="1" fieldPosition="0">
        <references count="3">
          <reference field="1" count="1" selected="0">
            <x v="4"/>
          </reference>
          <reference field="2" count="1" selected="0">
            <x v="18"/>
          </reference>
          <reference field="3" count="1">
            <x v="64"/>
          </reference>
        </references>
      </pivotArea>
    </format>
    <format dxfId="136">
      <pivotArea dataOnly="0" labelOnly="1" fieldPosition="0">
        <references count="3">
          <reference field="1" count="1" selected="0">
            <x v="4"/>
          </reference>
          <reference field="2" count="1" selected="0">
            <x v="18"/>
          </reference>
          <reference field="3" count="1" defaultSubtotal="1">
            <x v="64"/>
          </reference>
        </references>
      </pivotArea>
    </format>
    <format dxfId="135">
      <pivotArea dataOnly="0" labelOnly="1" fieldPosition="0">
        <references count="3">
          <reference field="1" count="1" selected="0">
            <x v="5"/>
          </reference>
          <reference field="2" count="1" selected="0">
            <x v="21"/>
          </reference>
          <reference field="3" count="2">
            <x v="75"/>
            <x v="76"/>
          </reference>
        </references>
      </pivotArea>
    </format>
    <format dxfId="134">
      <pivotArea dataOnly="0" labelOnly="1" fieldPosition="0">
        <references count="3">
          <reference field="1" count="1" selected="0">
            <x v="5"/>
          </reference>
          <reference field="2" count="1" selected="0">
            <x v="21"/>
          </reference>
          <reference field="3" count="2" defaultSubtotal="1">
            <x v="75"/>
            <x v="76"/>
          </reference>
        </references>
      </pivotArea>
    </format>
    <format dxfId="133">
      <pivotArea dataOnly="0" labelOnly="1" fieldPosition="0">
        <references count="3">
          <reference field="1" count="1" selected="0">
            <x v="6"/>
          </reference>
          <reference field="2" count="1" selected="0">
            <x v="7"/>
          </reference>
          <reference field="3" count="1">
            <x v="0"/>
          </reference>
        </references>
      </pivotArea>
    </format>
    <format dxfId="132">
      <pivotArea dataOnly="0" labelOnly="1" fieldPosition="0">
        <references count="3">
          <reference field="1" count="1" selected="0">
            <x v="6"/>
          </reference>
          <reference field="2" count="1" selected="0">
            <x v="7"/>
          </reference>
          <reference field="3" count="1" defaultSubtotal="1">
            <x v="0"/>
          </reference>
        </references>
      </pivotArea>
    </format>
    <format dxfId="131">
      <pivotArea dataOnly="0" labelOnly="1" fieldPosition="0">
        <references count="3">
          <reference field="1" count="1" selected="0">
            <x v="6"/>
          </reference>
          <reference field="2" count="1" selected="0">
            <x v="10"/>
          </reference>
          <reference field="3" count="5">
            <x v="15"/>
            <x v="17"/>
            <x v="53"/>
            <x v="71"/>
            <x v="77"/>
          </reference>
        </references>
      </pivotArea>
    </format>
    <format dxfId="130">
      <pivotArea dataOnly="0" labelOnly="1" fieldPosition="0">
        <references count="3">
          <reference field="1" count="1" selected="0">
            <x v="6"/>
          </reference>
          <reference field="2" count="1" selected="0">
            <x v="10"/>
          </reference>
          <reference field="3" count="5" defaultSubtotal="1">
            <x v="15"/>
            <x v="17"/>
            <x v="53"/>
            <x v="71"/>
            <x v="77"/>
          </reference>
        </references>
      </pivotArea>
    </format>
    <format dxfId="129">
      <pivotArea dataOnly="0" labelOnly="1" fieldPosition="0">
        <references count="3">
          <reference field="1" count="1" selected="0">
            <x v="7"/>
          </reference>
          <reference field="2" count="1" selected="0">
            <x v="20"/>
          </reference>
          <reference field="3" count="1">
            <x v="59"/>
          </reference>
        </references>
      </pivotArea>
    </format>
    <format dxfId="128">
      <pivotArea dataOnly="0" labelOnly="1" fieldPosition="0">
        <references count="3">
          <reference field="1" count="1" selected="0">
            <x v="7"/>
          </reference>
          <reference field="2" count="1" selected="0">
            <x v="20"/>
          </reference>
          <reference field="3" count="1" defaultSubtotal="1">
            <x v="59"/>
          </reference>
        </references>
      </pivotArea>
    </format>
    <format dxfId="127">
      <pivotArea dataOnly="0" labelOnly="1" fieldPosition="0">
        <references count="3">
          <reference field="1" count="1" selected="0">
            <x v="8"/>
          </reference>
          <reference field="2" count="1" selected="0">
            <x v="2"/>
          </reference>
          <reference field="3" count="1">
            <x v="14"/>
          </reference>
        </references>
      </pivotArea>
    </format>
    <format dxfId="126">
      <pivotArea dataOnly="0" labelOnly="1" fieldPosition="0">
        <references count="3">
          <reference field="1" count="1" selected="0">
            <x v="8"/>
          </reference>
          <reference field="2" count="1" selected="0">
            <x v="2"/>
          </reference>
          <reference field="3" count="1" defaultSubtotal="1">
            <x v="14"/>
          </reference>
        </references>
      </pivotArea>
    </format>
    <format dxfId="125">
      <pivotArea dataOnly="0" labelOnly="1" fieldPosition="0">
        <references count="3">
          <reference field="1" count="1" selected="0">
            <x v="8"/>
          </reference>
          <reference field="2" count="1" selected="0">
            <x v="5"/>
          </reference>
          <reference field="3" count="3">
            <x v="10"/>
            <x v="73"/>
            <x v="74"/>
          </reference>
        </references>
      </pivotArea>
    </format>
    <format dxfId="124">
      <pivotArea dataOnly="0" labelOnly="1" fieldPosition="0">
        <references count="3">
          <reference field="1" count="1" selected="0">
            <x v="8"/>
          </reference>
          <reference field="2" count="1" selected="0">
            <x v="5"/>
          </reference>
          <reference field="3" count="3" defaultSubtotal="1">
            <x v="10"/>
            <x v="73"/>
            <x v="74"/>
          </reference>
        </references>
      </pivotArea>
    </format>
    <format dxfId="123">
      <pivotArea dataOnly="0" labelOnly="1" fieldPosition="0">
        <references count="3">
          <reference field="1" count="1" selected="0">
            <x v="9"/>
          </reference>
          <reference field="2" count="1" selected="0">
            <x v="7"/>
          </reference>
          <reference field="3" count="6">
            <x v="1"/>
            <x v="8"/>
            <x v="38"/>
            <x v="39"/>
            <x v="50"/>
            <x v="81"/>
          </reference>
        </references>
      </pivotArea>
    </format>
    <format dxfId="122">
      <pivotArea dataOnly="0" labelOnly="1" fieldPosition="0">
        <references count="3">
          <reference field="1" count="1" selected="0">
            <x v="9"/>
          </reference>
          <reference field="2" count="1" selected="0">
            <x v="7"/>
          </reference>
          <reference field="3" count="6" defaultSubtotal="1">
            <x v="1"/>
            <x v="8"/>
            <x v="38"/>
            <x v="39"/>
            <x v="50"/>
            <x v="81"/>
          </reference>
        </references>
      </pivotArea>
    </format>
    <format dxfId="121">
      <pivotArea dataOnly="0" labelOnly="1" fieldPosition="0">
        <references count="3">
          <reference field="1" count="1" selected="0">
            <x v="10"/>
          </reference>
          <reference field="2" count="1" selected="0">
            <x v="13"/>
          </reference>
          <reference field="3" count="1">
            <x v="7"/>
          </reference>
        </references>
      </pivotArea>
    </format>
    <format dxfId="120">
      <pivotArea dataOnly="0" labelOnly="1" fieldPosition="0">
        <references count="3">
          <reference field="1" count="1" selected="0">
            <x v="10"/>
          </reference>
          <reference field="2" count="1" selected="0">
            <x v="13"/>
          </reference>
          <reference field="3" count="1" defaultSubtotal="1">
            <x v="7"/>
          </reference>
        </references>
      </pivotArea>
    </format>
    <format dxfId="119">
      <pivotArea dataOnly="0" labelOnly="1" fieldPosition="0">
        <references count="3">
          <reference field="1" count="1" selected="0">
            <x v="11"/>
          </reference>
          <reference field="2" count="1" selected="0">
            <x v="22"/>
          </reference>
          <reference field="3" count="3">
            <x v="54"/>
            <x v="55"/>
            <x v="78"/>
          </reference>
        </references>
      </pivotArea>
    </format>
    <format dxfId="118">
      <pivotArea dataOnly="0" labelOnly="1" fieldPosition="0">
        <references count="3">
          <reference field="1" count="1" selected="0">
            <x v="11"/>
          </reference>
          <reference field="2" count="1" selected="0">
            <x v="22"/>
          </reference>
          <reference field="3" count="3" defaultSubtotal="1">
            <x v="54"/>
            <x v="55"/>
            <x v="78"/>
          </reference>
        </references>
      </pivotArea>
    </format>
    <format dxfId="117">
      <pivotArea dataOnly="0" labelOnly="1" fieldPosition="0">
        <references count="3">
          <reference field="1" count="1" selected="0">
            <x v="12"/>
          </reference>
          <reference field="2" count="1" selected="0">
            <x v="0"/>
          </reference>
          <reference field="3" count="3">
            <x v="5"/>
            <x v="6"/>
            <x v="11"/>
          </reference>
        </references>
      </pivotArea>
    </format>
    <format dxfId="116">
      <pivotArea dataOnly="0" labelOnly="1" fieldPosition="0">
        <references count="3">
          <reference field="1" count="1" selected="0">
            <x v="12"/>
          </reference>
          <reference field="2" count="1" selected="0">
            <x v="0"/>
          </reference>
          <reference field="3" count="3" defaultSubtotal="1">
            <x v="5"/>
            <x v="6"/>
            <x v="11"/>
          </reference>
        </references>
      </pivotArea>
    </format>
    <format dxfId="115">
      <pivotArea dataOnly="0" labelOnly="1" fieldPosition="0">
        <references count="3">
          <reference field="1" count="1" selected="0">
            <x v="13"/>
          </reference>
          <reference field="2" count="1" selected="0">
            <x v="19"/>
          </reference>
          <reference field="3" count="1">
            <x v="2"/>
          </reference>
        </references>
      </pivotArea>
    </format>
    <format dxfId="114">
      <pivotArea dataOnly="0" labelOnly="1" fieldPosition="0">
        <references count="3">
          <reference field="1" count="1" selected="0">
            <x v="13"/>
          </reference>
          <reference field="2" count="1" selected="0">
            <x v="19"/>
          </reference>
          <reference field="3" count="1" defaultSubtotal="1">
            <x v="2"/>
          </reference>
        </references>
      </pivotArea>
    </format>
    <format dxfId="113">
      <pivotArea dataOnly="0" labelOnly="1" fieldPosition="0">
        <references count="3">
          <reference field="1" count="1" selected="0">
            <x v="14"/>
          </reference>
          <reference field="2" count="1" selected="0">
            <x v="9"/>
          </reference>
          <reference field="3" count="3">
            <x v="2"/>
            <x v="34"/>
            <x v="57"/>
          </reference>
        </references>
      </pivotArea>
    </format>
    <format dxfId="112">
      <pivotArea dataOnly="0" labelOnly="1" fieldPosition="0">
        <references count="3">
          <reference field="1" count="1" selected="0">
            <x v="14"/>
          </reference>
          <reference field="2" count="1" selected="0">
            <x v="9"/>
          </reference>
          <reference field="3" count="3" defaultSubtotal="1">
            <x v="2"/>
            <x v="34"/>
            <x v="57"/>
          </reference>
        </references>
      </pivotArea>
    </format>
    <format dxfId="111">
      <pivotArea dataOnly="0" labelOnly="1" fieldPosition="0">
        <references count="3">
          <reference field="1" count="1" selected="0">
            <x v="15"/>
          </reference>
          <reference field="2" count="1" selected="0">
            <x v="16"/>
          </reference>
          <reference field="3" count="1">
            <x v="62"/>
          </reference>
        </references>
      </pivotArea>
    </format>
    <format dxfId="110">
      <pivotArea dataOnly="0" labelOnly="1" fieldPosition="0">
        <references count="3">
          <reference field="1" count="1" selected="0">
            <x v="15"/>
          </reference>
          <reference field="2" count="1" selected="0">
            <x v="16"/>
          </reference>
          <reference field="3" count="1" defaultSubtotal="1">
            <x v="62"/>
          </reference>
        </references>
      </pivotArea>
    </format>
    <format dxfId="109">
      <pivotArea dataOnly="0" labelOnly="1" fieldPosition="0">
        <references count="3">
          <reference field="1" count="1" selected="0">
            <x v="16"/>
          </reference>
          <reference field="2" count="1" selected="0">
            <x v="12"/>
          </reference>
          <reference field="3" count="5">
            <x v="3"/>
            <x v="32"/>
            <x v="36"/>
            <x v="56"/>
            <x v="58"/>
          </reference>
        </references>
      </pivotArea>
    </format>
    <format dxfId="108">
      <pivotArea dataOnly="0" labelOnly="1" fieldPosition="0">
        <references count="3">
          <reference field="1" count="1" selected="0">
            <x v="16"/>
          </reference>
          <reference field="2" count="1" selected="0">
            <x v="12"/>
          </reference>
          <reference field="3" count="5" defaultSubtotal="1">
            <x v="3"/>
            <x v="32"/>
            <x v="36"/>
            <x v="56"/>
            <x v="58"/>
          </reference>
        </references>
      </pivotArea>
    </format>
    <format dxfId="107">
      <pivotArea dataOnly="0" labelOnly="1" fieldPosition="0">
        <references count="3">
          <reference field="1" count="1" selected="0">
            <x v="17"/>
          </reference>
          <reference field="2" count="1" selected="0">
            <x v="14"/>
          </reference>
          <reference field="3" count="1">
            <x v="60"/>
          </reference>
        </references>
      </pivotArea>
    </format>
    <format dxfId="106">
      <pivotArea dataOnly="0" labelOnly="1" fieldPosition="0">
        <references count="3">
          <reference field="1" count="1" selected="0">
            <x v="17"/>
          </reference>
          <reference field="2" count="1" selected="0">
            <x v="14"/>
          </reference>
          <reference field="3" count="1" defaultSubtotal="1">
            <x v="60"/>
          </reference>
        </references>
      </pivotArea>
    </format>
    <format dxfId="105">
      <pivotArea dataOnly="0" labelOnly="1" fieldPosition="0">
        <references count="3">
          <reference field="1" count="1" selected="0">
            <x v="18"/>
          </reference>
          <reference field="2" count="1" selected="0">
            <x v="3"/>
          </reference>
          <reference field="3" count="3">
            <x v="12"/>
            <x v="61"/>
            <x v="70"/>
          </reference>
        </references>
      </pivotArea>
    </format>
    <format dxfId="104">
      <pivotArea dataOnly="0" labelOnly="1" fieldPosition="0">
        <references count="3">
          <reference field="1" count="1" selected="0">
            <x v="18"/>
          </reference>
          <reference field="2" count="1" selected="0">
            <x v="3"/>
          </reference>
          <reference field="3" count="3" defaultSubtotal="1">
            <x v="12"/>
            <x v="61"/>
            <x v="70"/>
          </reference>
        </references>
      </pivotArea>
    </format>
    <format dxfId="103">
      <pivotArea dataOnly="0" labelOnly="1" fieldPosition="0">
        <references count="3">
          <reference field="1" count="1" selected="0">
            <x v="19"/>
          </reference>
          <reference field="2" count="1" selected="0">
            <x v="4"/>
          </reference>
          <reference field="3" count="2">
            <x v="35"/>
            <x v="52"/>
          </reference>
        </references>
      </pivotArea>
    </format>
    <format dxfId="102">
      <pivotArea dataOnly="0" labelOnly="1" fieldPosition="0">
        <references count="3">
          <reference field="1" count="1" selected="0">
            <x v="19"/>
          </reference>
          <reference field="2" count="1" selected="0">
            <x v="4"/>
          </reference>
          <reference field="3" count="2" defaultSubtotal="1">
            <x v="35"/>
            <x v="52"/>
          </reference>
        </references>
      </pivotArea>
    </format>
    <format dxfId="101">
      <pivotArea dataOnly="0" labelOnly="1" fieldPosition="0">
        <references count="3">
          <reference field="1" count="1" selected="0">
            <x v="20"/>
          </reference>
          <reference field="2" count="1" selected="0">
            <x v="11"/>
          </reference>
          <reference field="3" count="25">
            <x v="4"/>
            <x v="16"/>
            <x v="18"/>
            <x v="19"/>
            <x v="20"/>
            <x v="21"/>
            <x v="22"/>
            <x v="23"/>
            <x v="24"/>
            <x v="25"/>
            <x v="26"/>
            <x v="27"/>
            <x v="28"/>
            <x v="29"/>
            <x v="30"/>
            <x v="31"/>
            <x v="40"/>
            <x v="41"/>
            <x v="42"/>
            <x v="43"/>
            <x v="44"/>
            <x v="45"/>
            <x v="46"/>
            <x v="47"/>
            <x v="48"/>
          </reference>
        </references>
      </pivotArea>
    </format>
    <format dxfId="100">
      <pivotArea dataOnly="0" labelOnly="1" fieldPosition="0">
        <references count="3">
          <reference field="1" count="1" selected="0">
            <x v="20"/>
          </reference>
          <reference field="2" count="1" selected="0">
            <x v="11"/>
          </reference>
          <reference field="3" count="25" defaultSubtotal="1">
            <x v="4"/>
            <x v="16"/>
            <x v="18"/>
            <x v="19"/>
            <x v="20"/>
            <x v="21"/>
            <x v="22"/>
            <x v="23"/>
            <x v="24"/>
            <x v="25"/>
            <x v="26"/>
            <x v="27"/>
            <x v="28"/>
            <x v="29"/>
            <x v="30"/>
            <x v="31"/>
            <x v="40"/>
            <x v="41"/>
            <x v="42"/>
            <x v="43"/>
            <x v="44"/>
            <x v="45"/>
            <x v="46"/>
            <x v="47"/>
            <x v="48"/>
          </reference>
        </references>
      </pivotArea>
    </format>
    <format dxfId="99">
      <pivotArea dataOnly="0" labelOnly="1" fieldPosition="0">
        <references count="3">
          <reference field="1" count="1" selected="0">
            <x v="20"/>
          </reference>
          <reference field="2" count="1" selected="0">
            <x v="11"/>
          </reference>
          <reference field="3" count="4">
            <x v="49"/>
            <x v="67"/>
            <x v="68"/>
            <x v="69"/>
          </reference>
        </references>
      </pivotArea>
    </format>
    <format dxfId="98">
      <pivotArea dataOnly="0" labelOnly="1" fieldPosition="0">
        <references count="3">
          <reference field="1" count="1" selected="0">
            <x v="20"/>
          </reference>
          <reference field="2" count="1" selected="0">
            <x v="11"/>
          </reference>
          <reference field="3" count="4" defaultSubtotal="1">
            <x v="49"/>
            <x v="67"/>
            <x v="68"/>
            <x v="69"/>
          </reference>
        </references>
      </pivotArea>
    </format>
    <format dxfId="97">
      <pivotArea dataOnly="0" labelOnly="1" fieldPosition="0">
        <references count="3">
          <reference field="1" count="1" selected="0">
            <x v="21"/>
          </reference>
          <reference field="2" count="1" selected="0">
            <x v="8"/>
          </reference>
          <reference field="3" count="1">
            <x v="51"/>
          </reference>
        </references>
      </pivotArea>
    </format>
    <format dxfId="96">
      <pivotArea dataOnly="0" labelOnly="1" fieldPosition="0">
        <references count="3">
          <reference field="1" count="1" selected="0">
            <x v="21"/>
          </reference>
          <reference field="2" count="1" selected="0">
            <x v="8"/>
          </reference>
          <reference field="3" count="1" defaultSubtotal="1">
            <x v="51"/>
          </reference>
        </references>
      </pivotArea>
    </format>
    <format dxfId="95">
      <pivotArea dataOnly="0" labelOnly="1" fieldPosition="0">
        <references count="4">
          <reference field="0" count="1">
            <x v="120"/>
          </reference>
          <reference field="1" count="1" selected="0">
            <x v="0"/>
          </reference>
          <reference field="2" count="1" selected="0">
            <x v="17"/>
          </reference>
          <reference field="3" count="1" selected="0">
            <x v="37"/>
          </reference>
        </references>
      </pivotArea>
    </format>
    <format dxfId="94">
      <pivotArea dataOnly="0" labelOnly="1" fieldPosition="0">
        <references count="4">
          <reference field="0" count="2">
            <x v="46"/>
            <x v="376"/>
          </reference>
          <reference field="1" count="1" selected="0">
            <x v="1"/>
          </reference>
          <reference field="2" count="1" selected="0">
            <x v="15"/>
          </reference>
          <reference field="3" count="1" selected="0">
            <x v="9"/>
          </reference>
        </references>
      </pivotArea>
    </format>
    <format dxfId="93">
      <pivotArea dataOnly="0" labelOnly="1" fieldPosition="0">
        <references count="4">
          <reference field="0" count="1">
            <x v="150"/>
          </reference>
          <reference field="1" count="1" selected="0">
            <x v="1"/>
          </reference>
          <reference field="2" count="1" selected="0">
            <x v="15"/>
          </reference>
          <reference field="3" count="1" selected="0">
            <x v="33"/>
          </reference>
        </references>
      </pivotArea>
    </format>
    <format dxfId="92">
      <pivotArea dataOnly="0" labelOnly="1" fieldPosition="0">
        <references count="4">
          <reference field="0" count="1">
            <x v="407"/>
          </reference>
          <reference field="1" count="1" selected="0">
            <x v="1"/>
          </reference>
          <reference field="2" count="1" selected="0">
            <x v="15"/>
          </reference>
          <reference field="3" count="1" selected="0">
            <x v="66"/>
          </reference>
        </references>
      </pivotArea>
    </format>
    <format dxfId="91">
      <pivotArea dataOnly="0" labelOnly="1" fieldPosition="0">
        <references count="4">
          <reference field="0" count="1">
            <x v="324"/>
          </reference>
          <reference field="1" count="1" selected="0">
            <x v="1"/>
          </reference>
          <reference field="2" count="1" selected="0">
            <x v="15"/>
          </reference>
          <reference field="3" count="1" selected="0">
            <x v="72"/>
          </reference>
        </references>
      </pivotArea>
    </format>
    <format dxfId="90">
      <pivotArea dataOnly="0" labelOnly="1" fieldPosition="0">
        <references count="4">
          <reference field="0" count="4">
            <x v="382"/>
            <x v="383"/>
            <x v="384"/>
            <x v="385"/>
          </reference>
          <reference field="1" count="1" selected="0">
            <x v="2"/>
          </reference>
          <reference field="2" count="1" selected="0">
            <x v="6"/>
          </reference>
          <reference field="3" count="1" selected="0">
            <x v="63"/>
          </reference>
        </references>
      </pivotArea>
    </format>
    <format dxfId="89">
      <pivotArea dataOnly="0" labelOnly="1" fieldPosition="0">
        <references count="4">
          <reference field="0" count="3">
            <x v="447"/>
            <x v="448"/>
            <x v="449"/>
          </reference>
          <reference field="1" count="1" selected="0">
            <x v="2"/>
          </reference>
          <reference field="2" count="1" selected="0">
            <x v="6"/>
          </reference>
          <reference field="3" count="1" selected="0">
            <x v="65"/>
          </reference>
        </references>
      </pivotArea>
    </format>
    <format dxfId="88">
      <pivotArea dataOnly="0" labelOnly="1" fieldPosition="0">
        <references count="4">
          <reference field="0" count="9">
            <x v="14"/>
            <x v="16"/>
            <x v="33"/>
            <x v="161"/>
            <x v="214"/>
            <x v="223"/>
            <x v="401"/>
            <x v="405"/>
            <x v="435"/>
          </reference>
          <reference field="1" count="1" selected="0">
            <x v="2"/>
          </reference>
          <reference field="2" count="1" selected="0">
            <x v="6"/>
          </reference>
          <reference field="3" count="1" selected="0">
            <x v="79"/>
          </reference>
        </references>
      </pivotArea>
    </format>
    <format dxfId="87">
      <pivotArea dataOnly="0" labelOnly="1" fieldPosition="0">
        <references count="4">
          <reference field="0" count="1">
            <x v="88"/>
          </reference>
          <reference field="1" count="1" selected="0">
            <x v="3"/>
          </reference>
          <reference field="2" count="1" selected="0">
            <x v="1"/>
          </reference>
          <reference field="3" count="1" selected="0">
            <x v="13"/>
          </reference>
        </references>
      </pivotArea>
    </format>
    <format dxfId="86">
      <pivotArea dataOnly="0" labelOnly="1" fieldPosition="0">
        <references count="4">
          <reference field="0" count="1">
            <x v="440"/>
          </reference>
          <reference field="1" count="1" selected="0">
            <x v="4"/>
          </reference>
          <reference field="2" count="1" selected="0">
            <x v="18"/>
          </reference>
          <reference field="3" count="1" selected="0">
            <x v="64"/>
          </reference>
        </references>
      </pivotArea>
    </format>
    <format dxfId="85">
      <pivotArea dataOnly="0" labelOnly="1" fieldPosition="0">
        <references count="4">
          <reference field="0" count="50">
            <x v="0"/>
            <x v="10"/>
            <x v="12"/>
            <x v="17"/>
            <x v="23"/>
            <x v="26"/>
            <x v="32"/>
            <x v="38"/>
            <x v="39"/>
            <x v="40"/>
            <x v="59"/>
            <x v="60"/>
            <x v="65"/>
            <x v="86"/>
            <x v="108"/>
            <x v="116"/>
            <x v="117"/>
            <x v="137"/>
            <x v="138"/>
            <x v="148"/>
            <x v="149"/>
            <x v="151"/>
            <x v="159"/>
            <x v="163"/>
            <x v="169"/>
            <x v="173"/>
            <x v="174"/>
            <x v="207"/>
            <x v="208"/>
            <x v="211"/>
            <x v="215"/>
            <x v="224"/>
            <x v="227"/>
            <x v="230"/>
            <x v="232"/>
            <x v="239"/>
            <x v="244"/>
            <x v="256"/>
            <x v="267"/>
            <x v="300"/>
            <x v="315"/>
            <x v="319"/>
            <x v="344"/>
            <x v="345"/>
            <x v="358"/>
            <x v="360"/>
            <x v="361"/>
            <x v="364"/>
            <x v="378"/>
            <x v="386"/>
          </reference>
          <reference field="1" count="1" selected="0">
            <x v="5"/>
          </reference>
          <reference field="2" count="1" selected="0">
            <x v="21"/>
          </reference>
          <reference field="3" count="1" selected="0">
            <x v="75"/>
          </reference>
        </references>
      </pivotArea>
    </format>
    <format dxfId="84">
      <pivotArea dataOnly="0" labelOnly="1" fieldPosition="0">
        <references count="4">
          <reference field="0" count="27">
            <x v="389"/>
            <x v="390"/>
            <x v="404"/>
            <x v="406"/>
            <x v="414"/>
            <x v="416"/>
            <x v="421"/>
            <x v="422"/>
            <x v="427"/>
            <x v="428"/>
            <x v="432"/>
            <x v="436"/>
            <x v="446"/>
            <x v="456"/>
            <x v="474"/>
            <x v="477"/>
            <x v="484"/>
            <x v="485"/>
            <x v="498"/>
            <x v="499"/>
            <x v="500"/>
            <x v="501"/>
            <x v="502"/>
            <x v="503"/>
            <x v="505"/>
            <x v="515"/>
            <x v="534"/>
          </reference>
          <reference field="1" count="1" selected="0">
            <x v="5"/>
          </reference>
          <reference field="2" count="1" selected="0">
            <x v="21"/>
          </reference>
          <reference field="3" count="1" selected="0">
            <x v="75"/>
          </reference>
        </references>
      </pivotArea>
    </format>
    <format dxfId="83">
      <pivotArea dataOnly="0" labelOnly="1" fieldPosition="0">
        <references count="4">
          <reference field="0" count="45">
            <x v="1"/>
            <x v="6"/>
            <x v="13"/>
            <x v="15"/>
            <x v="24"/>
            <x v="30"/>
            <x v="56"/>
            <x v="57"/>
            <x v="112"/>
            <x v="136"/>
            <x v="144"/>
            <x v="153"/>
            <x v="157"/>
            <x v="160"/>
            <x v="212"/>
            <x v="213"/>
            <x v="219"/>
            <x v="221"/>
            <x v="222"/>
            <x v="228"/>
            <x v="247"/>
            <x v="248"/>
            <x v="259"/>
            <x v="263"/>
            <x v="264"/>
            <x v="265"/>
            <x v="269"/>
            <x v="270"/>
            <x v="276"/>
            <x v="301"/>
            <x v="302"/>
            <x v="303"/>
            <x v="310"/>
            <x v="312"/>
            <x v="353"/>
            <x v="371"/>
            <x v="402"/>
            <x v="419"/>
            <x v="420"/>
            <x v="471"/>
            <x v="483"/>
            <x v="513"/>
            <x v="517"/>
            <x v="532"/>
            <x v="533"/>
          </reference>
          <reference field="1" count="1" selected="0">
            <x v="5"/>
          </reference>
          <reference field="2" count="1" selected="0">
            <x v="21"/>
          </reference>
          <reference field="3" count="1" selected="0">
            <x v="76"/>
          </reference>
        </references>
      </pivotArea>
    </format>
    <format dxfId="82">
      <pivotArea dataOnly="0" labelOnly="1" fieldPosition="0">
        <references count="4">
          <reference field="0" count="1">
            <x v="518"/>
          </reference>
          <reference field="1" count="1" selected="0">
            <x v="6"/>
          </reference>
          <reference field="2" count="1" selected="0">
            <x v="7"/>
          </reference>
          <reference field="3" count="1" selected="0">
            <x v="0"/>
          </reference>
        </references>
      </pivotArea>
    </format>
    <format dxfId="81">
      <pivotArea dataOnly="0" labelOnly="1" fieldPosition="0">
        <references count="4">
          <reference field="0" count="2">
            <x v="113"/>
            <x v="535"/>
          </reference>
          <reference field="1" count="1" selected="0">
            <x v="6"/>
          </reference>
          <reference field="2" count="1" selected="0">
            <x v="10"/>
          </reference>
          <reference field="3" count="1" selected="0">
            <x v="15"/>
          </reference>
        </references>
      </pivotArea>
    </format>
    <format dxfId="80">
      <pivotArea dataOnly="0" labelOnly="1" fieldPosition="0">
        <references count="4">
          <reference field="0" count="1">
            <x v="391"/>
          </reference>
          <reference field="1" count="1" selected="0">
            <x v="6"/>
          </reference>
          <reference field="2" count="1" selected="0">
            <x v="10"/>
          </reference>
          <reference field="3" count="1" selected="0">
            <x v="17"/>
          </reference>
        </references>
      </pivotArea>
    </format>
    <format dxfId="79">
      <pivotArea dataOnly="0" labelOnly="1" fieldPosition="0">
        <references count="4">
          <reference field="0" count="1">
            <x v="201"/>
          </reference>
          <reference field="1" count="1" selected="0">
            <x v="6"/>
          </reference>
          <reference field="2" count="1" selected="0">
            <x v="10"/>
          </reference>
          <reference field="3" count="1" selected="0">
            <x v="53"/>
          </reference>
        </references>
      </pivotArea>
    </format>
    <format dxfId="78">
      <pivotArea dataOnly="0" labelOnly="1" fieldPosition="0">
        <references count="4">
          <reference field="0" count="12">
            <x v="75"/>
            <x v="76"/>
            <x v="438"/>
            <x v="458"/>
            <x v="462"/>
            <x v="463"/>
            <x v="464"/>
            <x v="465"/>
            <x v="466"/>
            <x v="467"/>
            <x v="468"/>
            <x v="469"/>
          </reference>
          <reference field="1" count="1" selected="0">
            <x v="6"/>
          </reference>
          <reference field="2" count="1" selected="0">
            <x v="10"/>
          </reference>
          <reference field="3" count="1" selected="0">
            <x v="71"/>
          </reference>
        </references>
      </pivotArea>
    </format>
    <format dxfId="77">
      <pivotArea dataOnly="0" labelOnly="1" fieldPosition="0">
        <references count="4">
          <reference field="0" count="4">
            <x v="20"/>
            <x v="318"/>
            <x v="354"/>
            <x v="473"/>
          </reference>
          <reference field="1" count="1" selected="0">
            <x v="6"/>
          </reference>
          <reference field="2" count="1" selected="0">
            <x v="10"/>
          </reference>
          <reference field="3" count="1" selected="0">
            <x v="77"/>
          </reference>
        </references>
      </pivotArea>
    </format>
    <format dxfId="76">
      <pivotArea dataOnly="0" labelOnly="1" fieldPosition="0">
        <references count="4">
          <reference field="0" count="5">
            <x v="97"/>
            <x v="171"/>
            <x v="236"/>
            <x v="328"/>
            <x v="342"/>
          </reference>
          <reference field="1" count="1" selected="0">
            <x v="7"/>
          </reference>
          <reference field="2" count="1" selected="0">
            <x v="20"/>
          </reference>
          <reference field="3" count="1" selected="0">
            <x v="59"/>
          </reference>
        </references>
      </pivotArea>
    </format>
    <format dxfId="75">
      <pivotArea dataOnly="0" labelOnly="1" fieldPosition="0">
        <references count="4">
          <reference field="0" count="7">
            <x v="99"/>
            <x v="100"/>
            <x v="101"/>
            <x v="102"/>
            <x v="103"/>
            <x v="104"/>
            <x v="105"/>
          </reference>
          <reference field="1" count="1" selected="0">
            <x v="8"/>
          </reference>
          <reference field="2" count="1" selected="0">
            <x v="2"/>
          </reference>
          <reference field="3" count="1" selected="0">
            <x v="14"/>
          </reference>
        </references>
      </pivotArea>
    </format>
    <format dxfId="74">
      <pivotArea dataOnly="0" labelOnly="1" fieldPosition="0">
        <references count="4">
          <reference field="0" count="2">
            <x v="511"/>
            <x v="512"/>
          </reference>
          <reference field="1" count="1" selected="0">
            <x v="8"/>
          </reference>
          <reference field="2" count="1" selected="0">
            <x v="5"/>
          </reference>
          <reference field="3" count="1" selected="0">
            <x v="10"/>
          </reference>
        </references>
      </pivotArea>
    </format>
    <format dxfId="73">
      <pivotArea dataOnly="0" labelOnly="1" fieldPosition="0">
        <references count="4">
          <reference field="0" count="8">
            <x v="45"/>
            <x v="72"/>
            <x v="119"/>
            <x v="145"/>
            <x v="147"/>
            <x v="277"/>
            <x v="309"/>
            <x v="495"/>
          </reference>
          <reference field="1" count="1" selected="0">
            <x v="8"/>
          </reference>
          <reference field="2" count="1" selected="0">
            <x v="5"/>
          </reference>
          <reference field="3" count="1" selected="0">
            <x v="73"/>
          </reference>
        </references>
      </pivotArea>
    </format>
    <format dxfId="72">
      <pivotArea dataOnly="0" labelOnly="1" fieldPosition="0">
        <references count="4">
          <reference field="0" count="8">
            <x v="329"/>
            <x v="330"/>
            <x v="331"/>
            <x v="332"/>
            <x v="333"/>
            <x v="334"/>
            <x v="335"/>
            <x v="336"/>
          </reference>
          <reference field="1" count="1" selected="0">
            <x v="8"/>
          </reference>
          <reference field="2" count="1" selected="0">
            <x v="5"/>
          </reference>
          <reference field="3" count="1" selected="0">
            <x v="74"/>
          </reference>
        </references>
      </pivotArea>
    </format>
    <format dxfId="71">
      <pivotArea dataOnly="0" labelOnly="1" fieldPosition="0">
        <references count="4">
          <reference field="0" count="12">
            <x v="2"/>
            <x v="3"/>
            <x v="337"/>
            <x v="338"/>
            <x v="339"/>
            <x v="340"/>
            <x v="341"/>
            <x v="457"/>
            <x v="459"/>
            <x v="461"/>
            <x v="525"/>
            <x v="531"/>
          </reference>
          <reference field="1" count="1" selected="0">
            <x v="9"/>
          </reference>
          <reference field="2" count="1" selected="0">
            <x v="7"/>
          </reference>
          <reference field="3" count="1" selected="0">
            <x v="1"/>
          </reference>
        </references>
      </pivotArea>
    </format>
    <format dxfId="70">
      <pivotArea dataOnly="0" labelOnly="1" fieldPosition="0">
        <references count="4">
          <reference field="0" count="8">
            <x v="52"/>
            <x v="83"/>
            <x v="343"/>
            <x v="491"/>
            <x v="492"/>
            <x v="493"/>
            <x v="526"/>
            <x v="527"/>
          </reference>
          <reference field="1" count="1" selected="0">
            <x v="9"/>
          </reference>
          <reference field="2" count="1" selected="0">
            <x v="7"/>
          </reference>
          <reference field="3" count="1" selected="0">
            <x v="8"/>
          </reference>
        </references>
      </pivotArea>
    </format>
    <format dxfId="69">
      <pivotArea dataOnly="0" labelOnly="1" fieldPosition="0">
        <references count="4">
          <reference field="0" count="23">
            <x v="11"/>
            <x v="42"/>
            <x v="62"/>
            <x v="107"/>
            <x v="109"/>
            <x v="162"/>
            <x v="220"/>
            <x v="226"/>
            <x v="246"/>
            <x v="249"/>
            <x v="250"/>
            <x v="260"/>
            <x v="266"/>
            <x v="268"/>
            <x v="316"/>
            <x v="359"/>
            <x v="365"/>
            <x v="387"/>
            <x v="403"/>
            <x v="415"/>
            <x v="445"/>
            <x v="453"/>
            <x v="454"/>
          </reference>
          <reference field="1" count="1" selected="0">
            <x v="9"/>
          </reference>
          <reference field="2" count="1" selected="0">
            <x v="7"/>
          </reference>
          <reference field="3" count="1" selected="0">
            <x v="38"/>
          </reference>
        </references>
      </pivotArea>
    </format>
    <format dxfId="68">
      <pivotArea dataOnly="0" labelOnly="1" fieldPosition="0">
        <references count="4">
          <reference field="0" count="5">
            <x v="89"/>
            <x v="90"/>
            <x v="93"/>
            <x v="95"/>
            <x v="96"/>
          </reference>
          <reference field="1" count="1" selected="0">
            <x v="9"/>
          </reference>
          <reference field="2" count="1" selected="0">
            <x v="7"/>
          </reference>
          <reference field="3" count="1" selected="0">
            <x v="39"/>
          </reference>
        </references>
      </pivotArea>
    </format>
    <format dxfId="67">
      <pivotArea dataOnly="0" labelOnly="1" fieldPosition="0">
        <references count="4">
          <reference field="0" count="5">
            <x v="251"/>
            <x v="252"/>
            <x v="253"/>
            <x v="254"/>
            <x v="255"/>
          </reference>
          <reference field="1" count="1" selected="0">
            <x v="9"/>
          </reference>
          <reference field="2" count="1" selected="0">
            <x v="7"/>
          </reference>
          <reference field="3" count="1" selected="0">
            <x v="50"/>
          </reference>
        </references>
      </pivotArea>
    </format>
    <format dxfId="66">
      <pivotArea dataOnly="0" labelOnly="1" fieldPosition="0">
        <references count="4">
          <reference field="0" count="18">
            <x v="53"/>
            <x v="54"/>
            <x v="55"/>
            <x v="81"/>
            <x v="166"/>
            <x v="167"/>
            <x v="168"/>
            <x v="367"/>
            <x v="368"/>
            <x v="369"/>
            <x v="370"/>
            <x v="410"/>
            <x v="411"/>
            <x v="412"/>
            <x v="413"/>
            <x v="520"/>
            <x v="521"/>
            <x v="522"/>
          </reference>
          <reference field="1" count="1" selected="0">
            <x v="9"/>
          </reference>
          <reference field="2" count="1" selected="0">
            <x v="7"/>
          </reference>
          <reference field="3" count="1" selected="0">
            <x v="81"/>
          </reference>
        </references>
      </pivotArea>
    </format>
    <format dxfId="65">
      <pivotArea dataOnly="0" labelOnly="1" fieldPosition="0">
        <references count="4">
          <reference field="0" count="7">
            <x v="91"/>
            <x v="94"/>
            <x v="98"/>
            <x v="139"/>
            <x v="140"/>
            <x v="141"/>
            <x v="530"/>
          </reference>
          <reference field="1" count="1" selected="0">
            <x v="10"/>
          </reference>
          <reference field="2" count="1" selected="0">
            <x v="13"/>
          </reference>
          <reference field="3" count="1" selected="0">
            <x v="7"/>
          </reference>
        </references>
      </pivotArea>
    </format>
    <format dxfId="64">
      <pivotArea dataOnly="0" labelOnly="1" fieldPosition="0">
        <references count="4">
          <reference field="0" count="45">
            <x v="5"/>
            <x v="7"/>
            <x v="8"/>
            <x v="21"/>
            <x v="22"/>
            <x v="58"/>
            <x v="61"/>
            <x v="64"/>
            <x v="79"/>
            <x v="87"/>
            <x v="106"/>
            <x v="118"/>
            <x v="175"/>
            <x v="209"/>
            <x v="210"/>
            <x v="216"/>
            <x v="217"/>
            <x v="218"/>
            <x v="225"/>
            <x v="238"/>
            <x v="261"/>
            <x v="283"/>
            <x v="284"/>
            <x v="299"/>
            <x v="314"/>
            <x v="317"/>
            <x v="321"/>
            <x v="355"/>
            <x v="356"/>
            <x v="357"/>
            <x v="388"/>
            <x v="417"/>
            <x v="418"/>
            <x v="425"/>
            <x v="426"/>
            <x v="430"/>
            <x v="431"/>
            <x v="450"/>
            <x v="452"/>
            <x v="455"/>
            <x v="478"/>
            <x v="482"/>
            <x v="494"/>
            <x v="504"/>
            <x v="516"/>
          </reference>
          <reference field="1" count="1" selected="0">
            <x v="11"/>
          </reference>
          <reference field="2" count="1" selected="0">
            <x v="22"/>
          </reference>
          <reference field="3" count="1" selected="0">
            <x v="54"/>
          </reference>
        </references>
      </pivotArea>
    </format>
    <format dxfId="63">
      <pivotArea dataOnly="0" labelOnly="1" fieldPosition="0">
        <references count="4">
          <reference field="0" count="1">
            <x v="519"/>
          </reference>
          <reference field="1" count="1" selected="0">
            <x v="11"/>
          </reference>
          <reference field="2" count="1" selected="0">
            <x v="22"/>
          </reference>
          <reference field="3" count="1" selected="0">
            <x v="55"/>
          </reference>
        </references>
      </pivotArea>
    </format>
    <format dxfId="62">
      <pivotArea dataOnly="0" labelOnly="1" fieldPosition="0">
        <references count="4">
          <reference field="0" count="5">
            <x v="41"/>
            <x v="164"/>
            <x v="231"/>
            <x v="429"/>
            <x v="437"/>
          </reference>
          <reference field="1" count="1" selected="0">
            <x v="11"/>
          </reference>
          <reference field="2" count="1" selected="0">
            <x v="22"/>
          </reference>
          <reference field="3" count="1" selected="0">
            <x v="78"/>
          </reference>
        </references>
      </pivotArea>
    </format>
    <format dxfId="61">
      <pivotArea dataOnly="0" labelOnly="1" fieldPosition="0">
        <references count="4">
          <reference field="0" count="1">
            <x v="381"/>
          </reference>
          <reference field="1" count="1" selected="0">
            <x v="12"/>
          </reference>
          <reference field="2" count="1" selected="0">
            <x v="0"/>
          </reference>
          <reference field="3" count="1" selected="0">
            <x v="5"/>
          </reference>
        </references>
      </pivotArea>
    </format>
    <format dxfId="60">
      <pivotArea dataOnly="0" labelOnly="1" fieldPosition="0">
        <references count="4">
          <reference field="0" count="1">
            <x v="380"/>
          </reference>
          <reference field="1" count="1" selected="0">
            <x v="12"/>
          </reference>
          <reference field="2" count="1" selected="0">
            <x v="0"/>
          </reference>
          <reference field="3" count="1" selected="0">
            <x v="6"/>
          </reference>
        </references>
      </pivotArea>
    </format>
    <format dxfId="59">
      <pivotArea dataOnly="0" labelOnly="1" fieldPosition="0">
        <references count="4">
          <reference field="0" count="1">
            <x v="51"/>
          </reference>
          <reference field="1" count="1" selected="0">
            <x v="12"/>
          </reference>
          <reference field="2" count="1" selected="0">
            <x v="0"/>
          </reference>
          <reference field="3" count="1" selected="0">
            <x v="11"/>
          </reference>
        </references>
      </pivotArea>
    </format>
    <format dxfId="58">
      <pivotArea dataOnly="0" labelOnly="1" fieldPosition="0">
        <references count="4">
          <reference field="0" count="9">
            <x v="9"/>
            <x v="74"/>
            <x v="85"/>
            <x v="115"/>
            <x v="176"/>
            <x v="245"/>
            <x v="262"/>
            <x v="281"/>
            <x v="510"/>
          </reference>
          <reference field="1" count="1" selected="0">
            <x v="13"/>
          </reference>
          <reference field="2" count="1" selected="0">
            <x v="19"/>
          </reference>
          <reference field="3" count="1" selected="0">
            <x v="2"/>
          </reference>
        </references>
      </pivotArea>
    </format>
    <format dxfId="57">
      <pivotArea dataOnly="0" labelOnly="1" fieldPosition="0">
        <references count="4">
          <reference field="0" count="1">
            <x v="92"/>
          </reference>
          <reference field="1" count="1" selected="0">
            <x v="14"/>
          </reference>
          <reference field="2" count="1" selected="0">
            <x v="9"/>
          </reference>
          <reference field="3" count="1" selected="0">
            <x v="2"/>
          </reference>
        </references>
      </pivotArea>
    </format>
    <format dxfId="56">
      <pivotArea dataOnly="0" labelOnly="1" fieldPosition="0">
        <references count="4">
          <reference field="0" count="1">
            <x v="180"/>
          </reference>
          <reference field="1" count="1" selected="0">
            <x v="14"/>
          </reference>
          <reference field="2" count="1" selected="0">
            <x v="9"/>
          </reference>
          <reference field="3" count="1" selected="0">
            <x v="34"/>
          </reference>
        </references>
      </pivotArea>
    </format>
    <format dxfId="55">
      <pivotArea dataOnly="0" labelOnly="1" fieldPosition="0">
        <references count="4">
          <reference field="0" count="2">
            <x v="181"/>
            <x v="320"/>
          </reference>
          <reference field="1" count="1" selected="0">
            <x v="14"/>
          </reference>
          <reference field="2" count="1" selected="0">
            <x v="9"/>
          </reference>
          <reference field="3" count="1" selected="0">
            <x v="57"/>
          </reference>
        </references>
      </pivotArea>
    </format>
    <format dxfId="54">
      <pivotArea dataOnly="0" labelOnly="1" fieldPosition="0">
        <references count="4">
          <reference field="0" count="11">
            <x v="111"/>
            <x v="128"/>
            <x v="146"/>
            <x v="297"/>
            <x v="396"/>
            <x v="397"/>
            <x v="398"/>
            <x v="399"/>
            <x v="409"/>
            <x v="434"/>
            <x v="475"/>
          </reference>
          <reference field="1" count="1" selected="0">
            <x v="15"/>
          </reference>
          <reference field="2" count="1" selected="0">
            <x v="16"/>
          </reference>
          <reference field="3" count="1" selected="0">
            <x v="62"/>
          </reference>
        </references>
      </pivotArea>
    </format>
    <format dxfId="53">
      <pivotArea dataOnly="0" labelOnly="1" fieldPosition="0">
        <references count="4">
          <reference field="0" count="1">
            <x v="25"/>
          </reference>
          <reference field="1" count="1" selected="0">
            <x v="16"/>
          </reference>
          <reference field="2" count="1" selected="0">
            <x v="12"/>
          </reference>
          <reference field="3" count="1" selected="0">
            <x v="3"/>
          </reference>
        </references>
      </pivotArea>
    </format>
    <format dxfId="52">
      <pivotArea dataOnly="0" labelOnly="1" fieldPosition="0">
        <references count="4">
          <reference field="0" count="1">
            <x v="142"/>
          </reference>
          <reference field="1" count="1" selected="0">
            <x v="16"/>
          </reference>
          <reference field="2" count="1" selected="0">
            <x v="12"/>
          </reference>
          <reference field="3" count="1" selected="0">
            <x v="32"/>
          </reference>
        </references>
      </pivotArea>
    </format>
    <format dxfId="51">
      <pivotArea dataOnly="0" labelOnly="1" fieldPosition="0">
        <references count="4">
          <reference field="0" count="1">
            <x v="182"/>
          </reference>
          <reference field="1" count="1" selected="0">
            <x v="16"/>
          </reference>
          <reference field="2" count="1" selected="0">
            <x v="12"/>
          </reference>
          <reference field="3" count="1" selected="0">
            <x v="36"/>
          </reference>
        </references>
      </pivotArea>
    </format>
    <format dxfId="50">
      <pivotArea dataOnly="0" labelOnly="1" fieldPosition="0">
        <references count="4">
          <reference field="0" count="5">
            <x v="184"/>
            <x v="199"/>
            <x v="326"/>
            <x v="523"/>
            <x v="524"/>
          </reference>
          <reference field="1" count="1" selected="0">
            <x v="16"/>
          </reference>
          <reference field="2" count="1" selected="0">
            <x v="12"/>
          </reference>
          <reference field="3" count="1" selected="0">
            <x v="56"/>
          </reference>
        </references>
      </pivotArea>
    </format>
    <format dxfId="49">
      <pivotArea dataOnly="0" labelOnly="1" fieldPosition="0">
        <references count="4">
          <reference field="0" count="1">
            <x v="325"/>
          </reference>
          <reference field="1" count="1" selected="0">
            <x v="16"/>
          </reference>
          <reference field="2" count="1" selected="0">
            <x v="12"/>
          </reference>
          <reference field="3" count="1" selected="0">
            <x v="58"/>
          </reference>
        </references>
      </pivotArea>
    </format>
    <format dxfId="48">
      <pivotArea dataOnly="0" labelOnly="1" fieldPosition="0">
        <references count="4">
          <reference field="0" count="15">
            <x v="63"/>
            <x v="66"/>
            <x v="126"/>
            <x v="143"/>
            <x v="170"/>
            <x v="285"/>
            <x v="286"/>
            <x v="293"/>
            <x v="346"/>
            <x v="348"/>
            <x v="350"/>
            <x v="351"/>
            <x v="479"/>
            <x v="480"/>
            <x v="509"/>
          </reference>
          <reference field="1" count="1" selected="0">
            <x v="17"/>
          </reference>
          <reference field="2" count="1" selected="0">
            <x v="14"/>
          </reference>
          <reference field="3" count="1" selected="0">
            <x v="60"/>
          </reference>
        </references>
      </pivotArea>
    </format>
    <format dxfId="47">
      <pivotArea dataOnly="0" labelOnly="1" fieldPosition="0">
        <references count="4">
          <reference field="0" count="3">
            <x v="121"/>
            <x v="152"/>
            <x v="327"/>
          </reference>
          <reference field="1" count="1" selected="0">
            <x v="18"/>
          </reference>
          <reference field="2" count="1" selected="0">
            <x v="3"/>
          </reference>
          <reference field="3" count="1" selected="0">
            <x v="12"/>
          </reference>
        </references>
      </pivotArea>
    </format>
    <format dxfId="46">
      <pivotArea dataOnly="0" labelOnly="1" fieldPosition="0">
        <references count="4">
          <reference field="0" count="10">
            <x v="110"/>
            <x v="124"/>
            <x v="172"/>
            <x v="235"/>
            <x v="372"/>
            <x v="392"/>
            <x v="393"/>
            <x v="394"/>
            <x v="395"/>
            <x v="424"/>
          </reference>
          <reference field="1" count="1" selected="0">
            <x v="18"/>
          </reference>
          <reference field="2" count="1" selected="0">
            <x v="3"/>
          </reference>
          <reference field="3" count="1" selected="0">
            <x v="61"/>
          </reference>
        </references>
      </pivotArea>
    </format>
    <format dxfId="45">
      <pivotArea dataOnly="0" labelOnly="1" fieldPosition="0">
        <references count="4">
          <reference field="0" count="2">
            <x v="257"/>
            <x v="439"/>
          </reference>
          <reference field="1" count="1" selected="0">
            <x v="18"/>
          </reference>
          <reference field="2" count="1" selected="0">
            <x v="3"/>
          </reference>
          <reference field="3" count="1" selected="0">
            <x v="70"/>
          </reference>
        </references>
      </pivotArea>
    </format>
    <format dxfId="44">
      <pivotArea dataOnly="0" labelOnly="1" fieldPosition="0">
        <references count="4">
          <reference field="0" count="10">
            <x v="185"/>
            <x v="186"/>
            <x v="187"/>
            <x v="188"/>
            <x v="189"/>
            <x v="202"/>
            <x v="203"/>
            <x v="204"/>
            <x v="205"/>
            <x v="234"/>
          </reference>
          <reference field="1" count="1" selected="0">
            <x v="19"/>
          </reference>
          <reference field="2" count="1" selected="0">
            <x v="4"/>
          </reference>
          <reference field="3" count="1" selected="0">
            <x v="35"/>
          </reference>
        </references>
      </pivotArea>
    </format>
    <format dxfId="43">
      <pivotArea dataOnly="0" labelOnly="1" fieldPosition="0">
        <references count="4">
          <reference field="0" count="3">
            <x v="36"/>
            <x v="37"/>
            <x v="444"/>
          </reference>
          <reference field="1" count="1" selected="0">
            <x v="19"/>
          </reference>
          <reference field="2" count="1" selected="0">
            <x v="4"/>
          </reference>
          <reference field="3" count="1" selected="0">
            <x v="52"/>
          </reference>
        </references>
      </pivotArea>
    </format>
    <format dxfId="42">
      <pivotArea dataOnly="0" labelOnly="1" fieldPosition="0">
        <references count="4">
          <reference field="0" count="1">
            <x v="31"/>
          </reference>
          <reference field="1" count="1" selected="0">
            <x v="20"/>
          </reference>
          <reference field="2" count="1" selected="0">
            <x v="11"/>
          </reference>
          <reference field="3" count="1" selected="0">
            <x v="4"/>
          </reference>
        </references>
      </pivotArea>
    </format>
    <format dxfId="41">
      <pivotArea dataOnly="0" labelOnly="1" fieldPosition="0">
        <references count="4">
          <reference field="0" count="1">
            <x v="114"/>
          </reference>
          <reference field="1" count="1" selected="0">
            <x v="20"/>
          </reference>
          <reference field="2" count="1" selected="0">
            <x v="11"/>
          </reference>
          <reference field="3" count="1" selected="0">
            <x v="16"/>
          </reference>
        </references>
      </pivotArea>
    </format>
    <format dxfId="40">
      <pivotArea dataOnly="0" labelOnly="1" fieldPosition="0">
        <references count="4">
          <reference field="0" count="5">
            <x v="27"/>
            <x v="28"/>
            <x v="29"/>
            <x v="206"/>
            <x v="443"/>
          </reference>
          <reference field="1" count="1" selected="0">
            <x v="20"/>
          </reference>
          <reference field="2" count="1" selected="0">
            <x v="11"/>
          </reference>
          <reference field="3" count="1" selected="0">
            <x v="18"/>
          </reference>
        </references>
      </pivotArea>
    </format>
    <format dxfId="39">
      <pivotArea dataOnly="0" labelOnly="1" fieldPosition="0">
        <references count="4">
          <reference field="0" count="2">
            <x v="34"/>
            <x v="35"/>
          </reference>
          <reference field="1" count="1" selected="0">
            <x v="20"/>
          </reference>
          <reference field="2" count="1" selected="0">
            <x v="11"/>
          </reference>
          <reference field="3" count="1" selected="0">
            <x v="19"/>
          </reference>
        </references>
      </pivotArea>
    </format>
    <format dxfId="38">
      <pivotArea dataOnly="0" labelOnly="1" fieldPosition="0">
        <references count="4">
          <reference field="0" count="13">
            <x v="18"/>
            <x v="80"/>
            <x v="154"/>
            <x v="158"/>
            <x v="258"/>
            <x v="294"/>
            <x v="311"/>
            <x v="373"/>
            <x v="379"/>
            <x v="423"/>
            <x v="433"/>
            <x v="451"/>
            <x v="514"/>
          </reference>
          <reference field="1" count="1" selected="0">
            <x v="20"/>
          </reference>
          <reference field="2" count="1" selected="0">
            <x v="11"/>
          </reference>
          <reference field="3" count="1" selected="0">
            <x v="20"/>
          </reference>
        </references>
      </pivotArea>
    </format>
    <format dxfId="37">
      <pivotArea dataOnly="0" labelOnly="1" fieldPosition="0">
        <references count="4">
          <reference field="0" count="1">
            <x v="179"/>
          </reference>
          <reference field="1" count="1" selected="0">
            <x v="20"/>
          </reference>
          <reference field="2" count="1" selected="0">
            <x v="11"/>
          </reference>
          <reference field="3" count="1" selected="0">
            <x v="21"/>
          </reference>
        </references>
      </pivotArea>
    </format>
    <format dxfId="36">
      <pivotArea dataOnly="0" labelOnly="1" fieldPosition="0">
        <references count="4">
          <reference field="0" count="10">
            <x v="73"/>
            <x v="155"/>
            <x v="156"/>
            <x v="237"/>
            <x v="295"/>
            <x v="296"/>
            <x v="322"/>
            <x v="489"/>
            <x v="528"/>
            <x v="529"/>
          </reference>
          <reference field="1" count="1" selected="0">
            <x v="20"/>
          </reference>
          <reference field="2" count="1" selected="0">
            <x v="11"/>
          </reference>
          <reference field="3" count="1" selected="0">
            <x v="22"/>
          </reference>
        </references>
      </pivotArea>
    </format>
    <format dxfId="35">
      <pivotArea dataOnly="0" labelOnly="1" fieldPosition="0">
        <references count="4">
          <reference field="0" count="1">
            <x v="19"/>
          </reference>
          <reference field="1" count="1" selected="0">
            <x v="20"/>
          </reference>
          <reference field="2" count="1" selected="0">
            <x v="11"/>
          </reference>
          <reference field="3" count="1" selected="0">
            <x v="23"/>
          </reference>
        </references>
      </pivotArea>
    </format>
    <format dxfId="34">
      <pivotArea dataOnly="0" labelOnly="1" fieldPosition="0">
        <references count="4">
          <reference field="0" count="5">
            <x v="44"/>
            <x v="274"/>
            <x v="275"/>
            <x v="278"/>
            <x v="280"/>
          </reference>
          <reference field="1" count="1" selected="0">
            <x v="20"/>
          </reference>
          <reference field="2" count="1" selected="0">
            <x v="11"/>
          </reference>
          <reference field="3" count="1" selected="0">
            <x v="24"/>
          </reference>
        </references>
      </pivotArea>
    </format>
    <format dxfId="33">
      <pivotArea dataOnly="0" labelOnly="1" fieldPosition="0">
        <references count="4">
          <reference field="0" count="1">
            <x v="442"/>
          </reference>
          <reference field="1" count="1" selected="0">
            <x v="20"/>
          </reference>
          <reference field="2" count="1" selected="0">
            <x v="11"/>
          </reference>
          <reference field="3" count="1" selected="0">
            <x v="25"/>
          </reference>
        </references>
      </pivotArea>
    </format>
    <format dxfId="32">
      <pivotArea dataOnly="0" labelOnly="1" fieldPosition="0">
        <references count="4">
          <reference field="0" count="38">
            <x v="47"/>
            <x v="82"/>
            <x v="84"/>
            <x v="122"/>
            <x v="123"/>
            <x v="125"/>
            <x v="133"/>
            <x v="183"/>
            <x v="190"/>
            <x v="191"/>
            <x v="192"/>
            <x v="193"/>
            <x v="194"/>
            <x v="195"/>
            <x v="196"/>
            <x v="197"/>
            <x v="198"/>
            <x v="200"/>
            <x v="229"/>
            <x v="233"/>
            <x v="271"/>
            <x v="272"/>
            <x v="273"/>
            <x v="304"/>
            <x v="305"/>
            <x v="306"/>
            <x v="307"/>
            <x v="308"/>
            <x v="323"/>
            <x v="363"/>
            <x v="377"/>
            <x v="400"/>
            <x v="460"/>
            <x v="486"/>
            <x v="487"/>
            <x v="488"/>
            <x v="490"/>
            <x v="536"/>
          </reference>
          <reference field="1" count="1" selected="0">
            <x v="20"/>
          </reference>
          <reference field="2" count="1" selected="0">
            <x v="11"/>
          </reference>
          <reference field="3" count="1" selected="0">
            <x v="26"/>
          </reference>
        </references>
      </pivotArea>
    </format>
    <format dxfId="31">
      <pivotArea dataOnly="0" labelOnly="1" fieldPosition="0">
        <references count="4">
          <reference field="0" count="2">
            <x v="165"/>
            <x v="279"/>
          </reference>
          <reference field="1" count="1" selected="0">
            <x v="20"/>
          </reference>
          <reference field="2" count="1" selected="0">
            <x v="11"/>
          </reference>
          <reference field="3" count="1" selected="0">
            <x v="27"/>
          </reference>
        </references>
      </pivotArea>
    </format>
    <format dxfId="30">
      <pivotArea dataOnly="0" labelOnly="1" fieldPosition="0">
        <references count="4">
          <reference field="0" count="3">
            <x v="291"/>
            <x v="292"/>
            <x v="375"/>
          </reference>
          <reference field="1" count="1" selected="0">
            <x v="20"/>
          </reference>
          <reference field="2" count="1" selected="0">
            <x v="11"/>
          </reference>
          <reference field="3" count="1" selected="0">
            <x v="28"/>
          </reference>
        </references>
      </pivotArea>
    </format>
    <format dxfId="29">
      <pivotArea dataOnly="0" labelOnly="1" fieldPosition="0">
        <references count="4">
          <reference field="0" count="2">
            <x v="496"/>
            <x v="497"/>
          </reference>
          <reference field="1" count="1" selected="0">
            <x v="20"/>
          </reference>
          <reference field="2" count="1" selected="0">
            <x v="11"/>
          </reference>
          <reference field="3" count="1" selected="0">
            <x v="29"/>
          </reference>
        </references>
      </pivotArea>
    </format>
    <format dxfId="28">
      <pivotArea dataOnly="0" labelOnly="1" fieldPosition="0">
        <references count="4">
          <reference field="0" count="1">
            <x v="470"/>
          </reference>
          <reference field="1" count="1" selected="0">
            <x v="20"/>
          </reference>
          <reference field="2" count="1" selected="0">
            <x v="11"/>
          </reference>
          <reference field="3" count="1" selected="0">
            <x v="30"/>
          </reference>
        </references>
      </pivotArea>
    </format>
    <format dxfId="27">
      <pivotArea dataOnly="0" labelOnly="1" fieldPosition="0">
        <references count="4">
          <reference field="0" count="3">
            <x v="77"/>
            <x v="78"/>
            <x v="476"/>
          </reference>
          <reference field="1" count="1" selected="0">
            <x v="20"/>
          </reference>
          <reference field="2" count="1" selected="0">
            <x v="11"/>
          </reference>
          <reference field="3" count="1" selected="0">
            <x v="31"/>
          </reference>
        </references>
      </pivotArea>
    </format>
    <format dxfId="26">
      <pivotArea dataOnly="0" labelOnly="1" fieldPosition="0">
        <references count="4">
          <reference field="0" count="1">
            <x v="135"/>
          </reference>
          <reference field="1" count="1" selected="0">
            <x v="20"/>
          </reference>
          <reference field="2" count="1" selected="0">
            <x v="11"/>
          </reference>
          <reference field="3" count="1" selected="0">
            <x v="40"/>
          </reference>
        </references>
      </pivotArea>
    </format>
    <format dxfId="25">
      <pivotArea dataOnly="0" labelOnly="1" fieldPosition="0">
        <references count="4">
          <reference field="0" count="1">
            <x v="366"/>
          </reference>
          <reference field="1" count="1" selected="0">
            <x v="20"/>
          </reference>
          <reference field="2" count="1" selected="0">
            <x v="11"/>
          </reference>
          <reference field="3" count="1" selected="0">
            <x v="41"/>
          </reference>
        </references>
      </pivotArea>
    </format>
    <format dxfId="24">
      <pivotArea dataOnly="0" labelOnly="1" fieldPosition="0">
        <references count="4">
          <reference field="0" count="10">
            <x v="43"/>
            <x v="49"/>
            <x v="50"/>
            <x v="129"/>
            <x v="130"/>
            <x v="132"/>
            <x v="134"/>
            <x v="472"/>
            <x v="506"/>
            <x v="507"/>
          </reference>
          <reference field="1" count="1" selected="0">
            <x v="20"/>
          </reference>
          <reference field="2" count="1" selected="0">
            <x v="11"/>
          </reference>
          <reference field="3" count="1" selected="0">
            <x v="42"/>
          </reference>
        </references>
      </pivotArea>
    </format>
    <format dxfId="23">
      <pivotArea dataOnly="0" labelOnly="1" fieldPosition="0">
        <references count="4">
          <reference field="0" count="5">
            <x v="289"/>
            <x v="290"/>
            <x v="298"/>
            <x v="349"/>
            <x v="481"/>
          </reference>
          <reference field="1" count="1" selected="0">
            <x v="20"/>
          </reference>
          <reference field="2" count="1" selected="0">
            <x v="11"/>
          </reference>
          <reference field="3" count="1" selected="0">
            <x v="43"/>
          </reference>
        </references>
      </pivotArea>
    </format>
    <format dxfId="22">
      <pivotArea dataOnly="0" labelOnly="1" fieldPosition="0">
        <references count="4">
          <reference field="0" count="8">
            <x v="68"/>
            <x v="69"/>
            <x v="131"/>
            <x v="287"/>
            <x v="313"/>
            <x v="347"/>
            <x v="362"/>
            <x v="441"/>
          </reference>
          <reference field="1" count="1" selected="0">
            <x v="20"/>
          </reference>
          <reference field="2" count="1" selected="0">
            <x v="11"/>
          </reference>
          <reference field="3" count="1" selected="0">
            <x v="44"/>
          </reference>
        </references>
      </pivotArea>
    </format>
    <format dxfId="21">
      <pivotArea dataOnly="0" labelOnly="1" fieldPosition="0">
        <references count="4">
          <reference field="0" count="1">
            <x v="408"/>
          </reference>
          <reference field="1" count="1" selected="0">
            <x v="20"/>
          </reference>
          <reference field="2" count="1" selected="0">
            <x v="11"/>
          </reference>
          <reference field="3" count="1" selected="0">
            <x v="45"/>
          </reference>
        </references>
      </pivotArea>
    </format>
    <format dxfId="20">
      <pivotArea dataOnly="0" labelOnly="1" fieldPosition="0">
        <references count="4">
          <reference field="0" count="1">
            <x v="352"/>
          </reference>
          <reference field="1" count="1" selected="0">
            <x v="20"/>
          </reference>
          <reference field="2" count="1" selected="0">
            <x v="11"/>
          </reference>
          <reference field="3" count="1" selected="0">
            <x v="46"/>
          </reference>
        </references>
      </pivotArea>
    </format>
    <format dxfId="19">
      <pivotArea dataOnly="0" labelOnly="1" fieldPosition="0">
        <references count="4">
          <reference field="0" count="1">
            <x v="508"/>
          </reference>
          <reference field="1" count="1" selected="0">
            <x v="20"/>
          </reference>
          <reference field="2" count="1" selected="0">
            <x v="11"/>
          </reference>
          <reference field="3" count="1" selected="0">
            <x v="47"/>
          </reference>
        </references>
      </pivotArea>
    </format>
    <format dxfId="18">
      <pivotArea dataOnly="0" labelOnly="1" fieldPosition="0">
        <references count="4">
          <reference field="0" count="1">
            <x v="374"/>
          </reference>
          <reference field="1" count="1" selected="0">
            <x v="20"/>
          </reference>
          <reference field="2" count="1" selected="0">
            <x v="11"/>
          </reference>
          <reference field="3" count="1" selected="0">
            <x v="48"/>
          </reference>
        </references>
      </pivotArea>
    </format>
    <format dxfId="17">
      <pivotArea dataOnly="0" labelOnly="1" fieldPosition="0">
        <references count="4">
          <reference field="0" count="7">
            <x v="48"/>
            <x v="67"/>
            <x v="240"/>
            <x v="241"/>
            <x v="242"/>
            <x v="243"/>
            <x v="288"/>
          </reference>
          <reference field="1" count="1" selected="0">
            <x v="20"/>
          </reference>
          <reference field="2" count="1" selected="0">
            <x v="11"/>
          </reference>
          <reference field="3" count="1" selected="0">
            <x v="49"/>
          </reference>
        </references>
      </pivotArea>
    </format>
    <format dxfId="16">
      <pivotArea dataOnly="0" labelOnly="1" fieldPosition="0">
        <references count="4">
          <reference field="0" count="2">
            <x v="4"/>
            <x v="178"/>
          </reference>
          <reference field="1" count="1" selected="0">
            <x v="20"/>
          </reference>
          <reference field="2" count="1" selected="0">
            <x v="11"/>
          </reference>
          <reference field="3" count="1" selected="0">
            <x v="67"/>
          </reference>
        </references>
      </pivotArea>
    </format>
    <format dxfId="15">
      <pivotArea dataOnly="0" labelOnly="1" fieldPosition="0">
        <references count="4">
          <reference field="0" count="3">
            <x v="70"/>
            <x v="71"/>
            <x v="127"/>
          </reference>
          <reference field="1" count="1" selected="0">
            <x v="20"/>
          </reference>
          <reference field="2" count="1" selected="0">
            <x v="11"/>
          </reference>
          <reference field="3" count="1" selected="0">
            <x v="68"/>
          </reference>
        </references>
      </pivotArea>
    </format>
    <format dxfId="14">
      <pivotArea dataOnly="0" labelOnly="1" fieldPosition="0">
        <references count="4">
          <reference field="0" count="1">
            <x v="177"/>
          </reference>
          <reference field="1" count="1" selected="0">
            <x v="20"/>
          </reference>
          <reference field="2" count="1" selected="0">
            <x v="11"/>
          </reference>
          <reference field="3" count="1" selected="0">
            <x v="69"/>
          </reference>
        </references>
      </pivotArea>
    </format>
    <format dxfId="13">
      <pivotArea dataOnly="0" labelOnly="1" fieldPosition="0">
        <references count="4">
          <reference field="0" count="1">
            <x v="282"/>
          </reference>
          <reference field="1" count="1" selected="0">
            <x v="21"/>
          </reference>
          <reference field="2" count="1" selected="0">
            <x v="8"/>
          </reference>
          <reference field="3" count="1" selected="0">
            <x v="51"/>
          </reference>
        </references>
      </pivotArea>
    </format>
    <format dxfId="12">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ivotTable" Target="../pivotTables/pivotTable1.xml"/><Relationship Id="rId4"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view="pageBreakPreview" zoomScale="60" zoomScaleNormal="100" workbookViewId="0">
      <selection activeCell="B1" sqref="B1:J1"/>
    </sheetView>
  </sheetViews>
  <sheetFormatPr defaultRowHeight="15"/>
  <cols>
    <col min="2" max="2" width="7.28515625" bestFit="1" customWidth="1"/>
    <col min="3" max="3" width="5" customWidth="1"/>
    <col min="5" max="5" width="58" customWidth="1"/>
    <col min="6" max="10" width="15.140625" bestFit="1" customWidth="1"/>
  </cols>
  <sheetData>
    <row r="1" spans="1:11" ht="26.25">
      <c r="A1">
        <v>100000</v>
      </c>
      <c r="B1" s="1369" t="s">
        <v>1445</v>
      </c>
      <c r="C1" s="1369"/>
      <c r="D1" s="1369"/>
      <c r="E1" s="1369"/>
      <c r="F1" s="1369"/>
      <c r="G1" s="1369"/>
      <c r="H1" s="1369"/>
      <c r="I1" s="1369"/>
      <c r="J1" s="1369"/>
    </row>
    <row r="2" spans="1:11" ht="15.75">
      <c r="B2" s="1370" t="s">
        <v>1858</v>
      </c>
      <c r="C2" s="1370"/>
      <c r="D2" s="1370"/>
      <c r="E2" s="1370"/>
      <c r="F2" s="1370"/>
      <c r="G2" s="1370"/>
      <c r="H2" s="1370"/>
      <c r="I2" s="1370"/>
      <c r="J2" s="1370"/>
    </row>
    <row r="3" spans="1:11" ht="15.75">
      <c r="B3" s="1370" t="s">
        <v>1859</v>
      </c>
      <c r="C3" s="1370"/>
      <c r="D3" s="1370"/>
      <c r="E3" s="1370"/>
      <c r="F3" s="1370"/>
      <c r="G3" s="1370"/>
      <c r="H3" s="1370"/>
      <c r="I3" s="1370"/>
      <c r="J3" s="1370"/>
    </row>
    <row r="4" spans="1:11">
      <c r="B4" s="733"/>
      <c r="C4" s="733"/>
      <c r="D4" s="733"/>
      <c r="E4" s="733"/>
      <c r="F4" s="733"/>
      <c r="G4" s="733"/>
      <c r="H4" s="733"/>
      <c r="I4" s="733"/>
      <c r="J4" s="733"/>
    </row>
    <row r="5" spans="1:11" ht="15.75" customHeight="1">
      <c r="B5" s="1371" t="s">
        <v>1939</v>
      </c>
      <c r="C5" s="1371"/>
      <c r="D5" s="1371"/>
      <c r="E5" s="1371"/>
      <c r="F5" s="1371"/>
      <c r="G5" s="1371"/>
      <c r="H5" s="1371"/>
      <c r="I5" s="1371"/>
      <c r="J5" s="1371"/>
    </row>
    <row r="7" spans="1:11">
      <c r="B7" s="734"/>
      <c r="C7" s="734"/>
      <c r="D7" s="734"/>
      <c r="E7" s="734"/>
      <c r="F7" s="734"/>
      <c r="G7" s="734"/>
      <c r="H7" s="734"/>
      <c r="I7" s="734"/>
      <c r="J7" s="734"/>
      <c r="K7" s="735"/>
    </row>
    <row r="8" spans="1:11" ht="15" customHeight="1">
      <c r="B8" s="1379" t="s">
        <v>1861</v>
      </c>
      <c r="C8" s="1379" t="s">
        <v>1861</v>
      </c>
      <c r="D8" s="1382" t="s">
        <v>9</v>
      </c>
      <c r="E8" s="1383"/>
      <c r="F8" s="1388" t="s">
        <v>1862</v>
      </c>
      <c r="G8" s="1382"/>
      <c r="H8" s="1383"/>
      <c r="I8" s="1379" t="s">
        <v>1937</v>
      </c>
      <c r="J8" s="1379" t="s">
        <v>1938</v>
      </c>
    </row>
    <row r="9" spans="1:11">
      <c r="B9" s="1380"/>
      <c r="C9" s="1380"/>
      <c r="D9" s="1384"/>
      <c r="E9" s="1385"/>
      <c r="F9" s="1389"/>
      <c r="G9" s="1386"/>
      <c r="H9" s="1387"/>
      <c r="I9" s="1380"/>
      <c r="J9" s="1380"/>
    </row>
    <row r="10" spans="1:11">
      <c r="B10" s="1380"/>
      <c r="C10" s="1380"/>
      <c r="D10" s="1384"/>
      <c r="E10" s="1385"/>
      <c r="F10" s="1374">
        <v>43921</v>
      </c>
      <c r="G10" s="1375">
        <v>43830</v>
      </c>
      <c r="H10" s="1377">
        <v>43555</v>
      </c>
      <c r="I10" s="1380"/>
      <c r="J10" s="1380"/>
    </row>
    <row r="11" spans="1:11">
      <c r="B11" s="1380"/>
      <c r="C11" s="1380"/>
      <c r="D11" s="1384"/>
      <c r="E11" s="1385"/>
      <c r="F11" s="1374"/>
      <c r="G11" s="1376"/>
      <c r="H11" s="1378"/>
      <c r="I11" s="1381"/>
      <c r="J11" s="1381"/>
    </row>
    <row r="12" spans="1:11">
      <c r="B12" s="1381"/>
      <c r="C12" s="1381"/>
      <c r="D12" s="1386"/>
      <c r="E12" s="1387"/>
      <c r="F12" s="736" t="s">
        <v>1863</v>
      </c>
      <c r="G12" s="737" t="s">
        <v>1863</v>
      </c>
      <c r="H12" s="736" t="s">
        <v>1863</v>
      </c>
      <c r="I12" s="736" t="s">
        <v>1864</v>
      </c>
      <c r="J12" s="803" t="s">
        <v>1864</v>
      </c>
    </row>
    <row r="13" spans="1:11">
      <c r="B13" s="738"/>
      <c r="C13" s="739"/>
      <c r="D13" s="740"/>
      <c r="E13" s="741"/>
      <c r="F13" s="742"/>
      <c r="G13" s="742"/>
      <c r="H13" s="743"/>
      <c r="I13" s="742"/>
      <c r="J13" s="742"/>
    </row>
    <row r="14" spans="1:11">
      <c r="B14" s="738" t="s">
        <v>1865</v>
      </c>
      <c r="C14" s="744"/>
      <c r="D14" s="732" t="s">
        <v>1866</v>
      </c>
      <c r="E14" s="745"/>
      <c r="F14" s="746"/>
      <c r="G14" s="746"/>
      <c r="H14" s="747"/>
      <c r="I14" s="746"/>
      <c r="J14" s="746"/>
    </row>
    <row r="15" spans="1:11">
      <c r="B15" s="738"/>
      <c r="C15" s="744" t="s">
        <v>1867</v>
      </c>
      <c r="D15" s="748" t="s">
        <v>1868</v>
      </c>
      <c r="E15" s="745"/>
      <c r="F15" s="746">
        <f>+I15-5272.235</f>
        <v>1715.0252859999991</v>
      </c>
      <c r="G15" s="746">
        <v>1787.0350000000001</v>
      </c>
      <c r="H15" s="747">
        <f>1773.134+94.435</f>
        <v>1867.569</v>
      </c>
      <c r="I15" s="746">
        <f>+BSPL!F82/$A$1</f>
        <v>6987.2602859999988</v>
      </c>
      <c r="J15" s="746">
        <f>+BSPL!G82/$A$1</f>
        <v>8056.4811233</v>
      </c>
    </row>
    <row r="16" spans="1:11">
      <c r="B16" s="738"/>
      <c r="C16" s="744" t="s">
        <v>1869</v>
      </c>
      <c r="D16" s="748" t="s">
        <v>1870</v>
      </c>
      <c r="E16" s="745"/>
      <c r="F16" s="746">
        <f>+I16-8.835</f>
        <v>1.5437499999999993</v>
      </c>
      <c r="G16" s="746">
        <f>99.695-94.435-0.01</f>
        <v>5.2499999999999911</v>
      </c>
      <c r="H16" s="747">
        <f>97.004-94.435</f>
        <v>2.5690000000000026</v>
      </c>
      <c r="I16" s="746">
        <f>+BSPL!F83/$A$1</f>
        <v>10.37875</v>
      </c>
      <c r="J16" s="746">
        <f>+BSPL!G83/$A$1</f>
        <v>10.034560500000001</v>
      </c>
    </row>
    <row r="17" spans="2:10">
      <c r="B17" s="738"/>
      <c r="C17" s="744"/>
      <c r="D17" s="748"/>
      <c r="E17" s="745"/>
      <c r="F17" s="749"/>
      <c r="G17" s="807"/>
      <c r="H17" s="808"/>
      <c r="I17" s="807"/>
      <c r="J17" s="807"/>
    </row>
    <row r="18" spans="2:10" ht="15.75" thickBot="1">
      <c r="B18" s="738"/>
      <c r="C18" s="744"/>
      <c r="D18" s="732" t="s">
        <v>1871</v>
      </c>
      <c r="E18" s="745"/>
      <c r="F18" s="751">
        <f>F15+F16</f>
        <v>1716.5690359999992</v>
      </c>
      <c r="G18" s="809">
        <f>G15+G16</f>
        <v>1792.2850000000001</v>
      </c>
      <c r="H18" s="810">
        <f t="shared" ref="H18:J18" si="0">H15+H16</f>
        <v>1870.1379999999999</v>
      </c>
      <c r="I18" s="809">
        <f t="shared" si="0"/>
        <v>6997.6390359999987</v>
      </c>
      <c r="J18" s="809">
        <f t="shared" si="0"/>
        <v>8066.5156838000003</v>
      </c>
    </row>
    <row r="19" spans="2:10">
      <c r="B19" s="738"/>
      <c r="C19" s="744"/>
      <c r="D19" s="748"/>
      <c r="E19" s="745"/>
      <c r="F19" s="559"/>
      <c r="G19" s="811"/>
      <c r="H19" s="811"/>
      <c r="I19" s="811"/>
      <c r="J19" s="811"/>
    </row>
    <row r="20" spans="2:10">
      <c r="B20" s="738" t="s">
        <v>1872</v>
      </c>
      <c r="C20" s="744"/>
      <c r="D20" s="732" t="s">
        <v>1873</v>
      </c>
      <c r="E20" s="745"/>
      <c r="F20" s="559"/>
      <c r="G20" s="811"/>
      <c r="H20" s="6"/>
      <c r="I20" s="811"/>
      <c r="J20" s="811"/>
    </row>
    <row r="21" spans="2:10">
      <c r="B21" s="738"/>
      <c r="C21" s="744" t="s">
        <v>1867</v>
      </c>
      <c r="D21" s="748" t="s">
        <v>1874</v>
      </c>
      <c r="E21" s="745"/>
      <c r="F21" s="746">
        <f>+I21-3291.09</f>
        <v>1037.6706431871471</v>
      </c>
      <c r="G21" s="804">
        <v>1060.99</v>
      </c>
      <c r="H21" s="805">
        <v>1160.26</v>
      </c>
      <c r="I21" s="804">
        <f>+BSPL!F86/$A$1</f>
        <v>4328.7606431871473</v>
      </c>
      <c r="J21" s="804">
        <f>+BSPL!G86/$A$1</f>
        <v>4881.4753067999991</v>
      </c>
    </row>
    <row r="22" spans="2:10">
      <c r="B22" s="738"/>
      <c r="C22" s="744" t="s">
        <v>1869</v>
      </c>
      <c r="D22" s="815" t="s">
        <v>1986</v>
      </c>
      <c r="E22" s="745"/>
      <c r="F22" s="746">
        <f>+I22</f>
        <v>12.34765</v>
      </c>
      <c r="G22" s="804">
        <v>0</v>
      </c>
      <c r="H22" s="805">
        <v>0</v>
      </c>
      <c r="I22" s="804">
        <f>+BSPL!F87/A1</f>
        <v>12.34765</v>
      </c>
      <c r="J22" s="804"/>
    </row>
    <row r="23" spans="2:10" ht="15" customHeight="1">
      <c r="B23" s="738"/>
      <c r="C23" s="744" t="s">
        <v>1876</v>
      </c>
      <c r="D23" s="1390" t="s">
        <v>1875</v>
      </c>
      <c r="E23" s="1391"/>
      <c r="F23" s="746">
        <f>+I23-34.56</f>
        <v>22.306993805988213</v>
      </c>
      <c r="G23" s="804">
        <v>-2.69</v>
      </c>
      <c r="H23" s="805">
        <v>-10.5</v>
      </c>
      <c r="I23" s="804">
        <f>+BSPL!F88/$A$1</f>
        <v>56.866993805988216</v>
      </c>
      <c r="J23" s="804">
        <f>+BSPL!G88/$A$1</f>
        <v>-44.562852896673682</v>
      </c>
    </row>
    <row r="24" spans="2:10">
      <c r="B24" s="738"/>
      <c r="C24" s="744" t="s">
        <v>1877</v>
      </c>
      <c r="D24" s="748" t="s">
        <v>579</v>
      </c>
      <c r="E24" s="745"/>
      <c r="F24" s="746">
        <f>+I24-163.96</f>
        <v>49.406669999999991</v>
      </c>
      <c r="G24" s="804">
        <v>56.23</v>
      </c>
      <c r="H24" s="805">
        <v>41.84</v>
      </c>
      <c r="I24" s="804">
        <f>+BSPL!F89/$A$1</f>
        <v>213.36667</v>
      </c>
      <c r="J24" s="804">
        <f>+BSPL!G89/$A$1</f>
        <v>214.22389999999999</v>
      </c>
    </row>
    <row r="25" spans="2:10">
      <c r="B25" s="738"/>
      <c r="C25" s="744" t="s">
        <v>1879</v>
      </c>
      <c r="D25" s="748" t="s">
        <v>1878</v>
      </c>
      <c r="E25" s="745"/>
      <c r="F25" s="746">
        <f>+I25-127.79</f>
        <v>44.139390000000006</v>
      </c>
      <c r="G25" s="804">
        <v>42.87</v>
      </c>
      <c r="H25" s="805">
        <v>41.11</v>
      </c>
      <c r="I25" s="804">
        <f>+BSPL!F91/$A$1</f>
        <v>171.92939000000001</v>
      </c>
      <c r="J25" s="804">
        <f>+BSPL!G91/$A$1</f>
        <v>164.67599999999999</v>
      </c>
    </row>
    <row r="26" spans="2:10">
      <c r="B26" s="738"/>
      <c r="C26" s="744" t="s">
        <v>1881</v>
      </c>
      <c r="D26" s="748" t="s">
        <v>1880</v>
      </c>
      <c r="E26" s="745"/>
      <c r="F26" s="746">
        <f>+I26-70.32</f>
        <v>23.243609400000025</v>
      </c>
      <c r="G26" s="804">
        <v>23</v>
      </c>
      <c r="H26" s="805">
        <v>29.43</v>
      </c>
      <c r="I26" s="804">
        <f>+BSPL!F90/$A$1</f>
        <v>93.563609400000018</v>
      </c>
      <c r="J26" s="804">
        <f>+BSPL!G90/$A$1</f>
        <v>143.76693739999999</v>
      </c>
    </row>
    <row r="27" spans="2:10">
      <c r="B27" s="738"/>
      <c r="C27" s="744" t="s">
        <v>1987</v>
      </c>
      <c r="D27" s="748" t="s">
        <v>568</v>
      </c>
      <c r="E27" s="745"/>
      <c r="F27" s="746">
        <f>+I27-1420.14</f>
        <v>485.67608549999977</v>
      </c>
      <c r="G27" s="804">
        <f>500.974</f>
        <v>500.97399999999999</v>
      </c>
      <c r="H27" s="805">
        <v>533.44600000000003</v>
      </c>
      <c r="I27" s="804">
        <f>+BSPL!F92/$A$1</f>
        <v>1905.8160854999999</v>
      </c>
      <c r="J27" s="804">
        <f>+BSPL!G92/$A$1</f>
        <v>1996.1085202000002</v>
      </c>
    </row>
    <row r="28" spans="2:10">
      <c r="B28" s="738"/>
      <c r="C28" s="744"/>
      <c r="D28" s="748"/>
      <c r="E28" s="745"/>
      <c r="F28" s="749"/>
      <c r="G28" s="807"/>
      <c r="H28" s="808"/>
      <c r="I28" s="807"/>
      <c r="J28" s="807"/>
    </row>
    <row r="29" spans="2:10" ht="15.75" thickBot="1">
      <c r="B29" s="738"/>
      <c r="C29" s="744"/>
      <c r="D29" s="732" t="s">
        <v>1882</v>
      </c>
      <c r="E29" s="745"/>
      <c r="F29" s="751">
        <f>SUM(F21:F27)</f>
        <v>1674.7910418931351</v>
      </c>
      <c r="G29" s="809">
        <f>SUM(G21:G27)</f>
        <v>1681.3739999999998</v>
      </c>
      <c r="H29" s="809">
        <f>SUM(H21:H27)</f>
        <v>1795.5859999999998</v>
      </c>
      <c r="I29" s="809">
        <f>SUM(I21:I27)</f>
        <v>6782.6510418931357</v>
      </c>
      <c r="J29" s="809">
        <f>SUM(J21:J27)</f>
        <v>7355.687811503326</v>
      </c>
    </row>
    <row r="30" spans="2:10">
      <c r="B30" s="738"/>
      <c r="C30" s="744"/>
      <c r="D30" s="748"/>
      <c r="E30" s="745"/>
      <c r="F30" s="559"/>
      <c r="G30" s="559"/>
      <c r="H30" s="753"/>
      <c r="I30" s="559"/>
      <c r="J30" s="559"/>
    </row>
    <row r="31" spans="2:10" ht="28.5" customHeight="1">
      <c r="B31" s="738" t="s">
        <v>1883</v>
      </c>
      <c r="C31" s="744"/>
      <c r="D31" s="1372" t="s">
        <v>1884</v>
      </c>
      <c r="E31" s="1373"/>
      <c r="F31" s="746">
        <f>F18-F29</f>
        <v>41.777994106864071</v>
      </c>
      <c r="G31" s="746">
        <f>G18-G29</f>
        <v>110.91100000000029</v>
      </c>
      <c r="H31" s="746">
        <f>H18-H29-0.01</f>
        <v>74.542000000000129</v>
      </c>
      <c r="I31" s="746">
        <f>I18-I29</f>
        <v>214.98799410686297</v>
      </c>
      <c r="J31" s="746">
        <f>J18-J29</f>
        <v>710.82787229667429</v>
      </c>
    </row>
    <row r="32" spans="2:10">
      <c r="B32" s="738"/>
      <c r="C32" s="744"/>
      <c r="D32" s="754"/>
      <c r="E32" s="755"/>
      <c r="F32" s="756"/>
      <c r="G32" s="756"/>
      <c r="H32" s="752"/>
      <c r="I32" s="756"/>
      <c r="J32" s="756"/>
    </row>
    <row r="33" spans="2:10">
      <c r="B33" s="738" t="s">
        <v>1885</v>
      </c>
      <c r="C33" s="744"/>
      <c r="D33" s="748" t="s">
        <v>1886</v>
      </c>
      <c r="E33" s="745"/>
      <c r="F33" s="756">
        <v>0</v>
      </c>
      <c r="G33" s="756">
        <v>0</v>
      </c>
      <c r="H33" s="752">
        <v>0</v>
      </c>
      <c r="I33" s="756">
        <v>0</v>
      </c>
      <c r="J33" s="756">
        <v>0</v>
      </c>
    </row>
    <row r="34" spans="2:10" ht="28.5" customHeight="1">
      <c r="B34" s="738" t="s">
        <v>1887</v>
      </c>
      <c r="C34" s="744"/>
      <c r="D34" s="1372" t="s">
        <v>1888</v>
      </c>
      <c r="E34" s="1373"/>
      <c r="F34" s="746">
        <f>F31-F33</f>
        <v>41.777994106864071</v>
      </c>
      <c r="G34" s="746">
        <f t="shared" ref="G34:J34" si="1">G31-G33</f>
        <v>110.91100000000029</v>
      </c>
      <c r="H34" s="746">
        <f t="shared" si="1"/>
        <v>74.542000000000129</v>
      </c>
      <c r="I34" s="746">
        <f t="shared" si="1"/>
        <v>214.98799410686297</v>
      </c>
      <c r="J34" s="746">
        <f t="shared" si="1"/>
        <v>710.82787229667429</v>
      </c>
    </row>
    <row r="35" spans="2:10">
      <c r="B35" s="738"/>
      <c r="C35" s="744"/>
      <c r="D35" s="748"/>
      <c r="E35" s="745"/>
      <c r="F35" s="756"/>
      <c r="G35" s="756"/>
      <c r="H35" s="752"/>
      <c r="I35" s="756"/>
      <c r="J35" s="756"/>
    </row>
    <row r="36" spans="2:10">
      <c r="B36" s="738" t="s">
        <v>1889</v>
      </c>
      <c r="C36" s="744"/>
      <c r="D36" s="732" t="s">
        <v>1890</v>
      </c>
      <c r="E36" s="745"/>
      <c r="F36" s="756"/>
      <c r="G36" s="756"/>
      <c r="H36" s="752"/>
      <c r="I36" s="756"/>
      <c r="J36" s="756"/>
    </row>
    <row r="37" spans="2:10">
      <c r="B37" s="738"/>
      <c r="C37" s="744" t="s">
        <v>1867</v>
      </c>
      <c r="D37" s="748" t="s">
        <v>1891</v>
      </c>
      <c r="E37" s="745"/>
      <c r="F37" s="746">
        <f>+I37-44.6</f>
        <v>0.54807180287932766</v>
      </c>
      <c r="G37" s="746">
        <f>+G34*0.2575</f>
        <v>28.559582500000076</v>
      </c>
      <c r="H37" s="752">
        <v>16.95</v>
      </c>
      <c r="I37" s="746">
        <f>+BSPL!F99/$A$1</f>
        <v>45.148071802879329</v>
      </c>
      <c r="J37" s="746">
        <f>+BSPL!G99/$A$1</f>
        <v>161.60409421267948</v>
      </c>
    </row>
    <row r="38" spans="2:10">
      <c r="B38" s="738"/>
      <c r="C38" s="744" t="s">
        <v>1869</v>
      </c>
      <c r="D38" s="748" t="s">
        <v>1892</v>
      </c>
      <c r="E38" s="745"/>
      <c r="F38" s="756">
        <f>+I38-0</f>
        <v>1.5096534163219855</v>
      </c>
      <c r="G38" s="756"/>
      <c r="H38" s="752">
        <f>-40.71-0.01</f>
        <v>-40.72</v>
      </c>
      <c r="I38" s="756">
        <f>+BSPL!F101/$A$1</f>
        <v>1.5096534163219855</v>
      </c>
      <c r="J38" s="756">
        <f>+BSPL!G101/$A$1</f>
        <v>-40.709824607324933</v>
      </c>
    </row>
    <row r="39" spans="2:10">
      <c r="B39" s="738"/>
      <c r="C39" s="744"/>
      <c r="D39" s="748"/>
      <c r="E39" s="745"/>
      <c r="F39" s="757"/>
      <c r="G39" s="757"/>
      <c r="H39" s="750"/>
      <c r="I39" s="757"/>
      <c r="J39" s="757"/>
    </row>
    <row r="40" spans="2:10" ht="31.5" customHeight="1" thickBot="1">
      <c r="B40" s="738" t="s">
        <v>1893</v>
      </c>
      <c r="C40" s="744"/>
      <c r="D40" s="1372" t="s">
        <v>1894</v>
      </c>
      <c r="E40" s="1373"/>
      <c r="F40" s="758">
        <f>F34-F37-F38</f>
        <v>39.720268887662755</v>
      </c>
      <c r="G40" s="758">
        <f t="shared" ref="G40:J40" si="2">G34-G37-G38</f>
        <v>82.35141750000021</v>
      </c>
      <c r="H40" s="758">
        <f t="shared" si="2"/>
        <v>98.312000000000126</v>
      </c>
      <c r="I40" s="758">
        <f t="shared" si="2"/>
        <v>168.33026888766167</v>
      </c>
      <c r="J40" s="758">
        <f t="shared" si="2"/>
        <v>589.93360269131972</v>
      </c>
    </row>
    <row r="41" spans="2:10">
      <c r="B41" s="738"/>
      <c r="C41" s="744"/>
      <c r="D41" s="748"/>
      <c r="E41" s="745"/>
      <c r="F41" s="756"/>
      <c r="G41" s="756"/>
      <c r="H41" s="752"/>
      <c r="I41" s="756"/>
      <c r="J41" s="756"/>
    </row>
    <row r="42" spans="2:10">
      <c r="B42" s="738" t="s">
        <v>1895</v>
      </c>
      <c r="C42" s="744"/>
      <c r="D42" s="732" t="s">
        <v>1896</v>
      </c>
      <c r="E42" s="745"/>
      <c r="F42" s="756"/>
      <c r="G42" s="756"/>
      <c r="H42" s="752"/>
      <c r="I42" s="756"/>
      <c r="J42" s="756"/>
    </row>
    <row r="43" spans="2:10" ht="15.75">
      <c r="B43" s="738"/>
      <c r="C43" s="744" t="s">
        <v>1867</v>
      </c>
      <c r="D43" s="759" t="s">
        <v>1897</v>
      </c>
      <c r="E43" s="745"/>
      <c r="F43" s="746">
        <f>+I43-0</f>
        <v>-1.8625100000000001</v>
      </c>
      <c r="G43" s="746" t="s">
        <v>980</v>
      </c>
      <c r="H43" s="746">
        <v>-5.36</v>
      </c>
      <c r="I43" s="746">
        <f>+BSPL!F106/$A$1</f>
        <v>-1.8625100000000001</v>
      </c>
      <c r="J43" s="746">
        <f>+BSPL!G106/$A$1</f>
        <v>-5.3555799999999998</v>
      </c>
    </row>
    <row r="44" spans="2:10" ht="15.75">
      <c r="B44" s="738"/>
      <c r="C44" s="744" t="s">
        <v>1869</v>
      </c>
      <c r="D44" s="759" t="s">
        <v>1898</v>
      </c>
      <c r="E44" s="745"/>
      <c r="F44" s="746" t="s">
        <v>980</v>
      </c>
      <c r="G44" s="746" t="s">
        <v>980</v>
      </c>
      <c r="H44" s="746" t="s">
        <v>980</v>
      </c>
      <c r="I44" s="746" t="s">
        <v>980</v>
      </c>
      <c r="J44" s="746" t="s">
        <v>980</v>
      </c>
    </row>
    <row r="45" spans="2:10" ht="15.75">
      <c r="B45" s="738"/>
      <c r="C45" s="744" t="s">
        <v>1876</v>
      </c>
      <c r="D45" s="759" t="s">
        <v>1899</v>
      </c>
      <c r="E45" s="745"/>
      <c r="F45" s="746" t="s">
        <v>980</v>
      </c>
      <c r="G45" s="746" t="s">
        <v>980</v>
      </c>
      <c r="H45" s="746" t="s">
        <v>980</v>
      </c>
      <c r="I45" s="746" t="s">
        <v>980</v>
      </c>
      <c r="J45" s="746" t="s">
        <v>980</v>
      </c>
    </row>
    <row r="46" spans="2:10" ht="15.75">
      <c r="B46" s="738"/>
      <c r="C46" s="744" t="s">
        <v>1877</v>
      </c>
      <c r="D46" s="759" t="s">
        <v>1898</v>
      </c>
      <c r="E46" s="745"/>
      <c r="F46" s="746" t="s">
        <v>980</v>
      </c>
      <c r="G46" s="746" t="s">
        <v>980</v>
      </c>
      <c r="H46" s="746" t="s">
        <v>980</v>
      </c>
      <c r="I46" s="746" t="s">
        <v>980</v>
      </c>
      <c r="J46" s="746" t="s">
        <v>980</v>
      </c>
    </row>
    <row r="47" spans="2:10">
      <c r="B47" s="738"/>
      <c r="C47" s="744"/>
      <c r="D47" s="748"/>
      <c r="E47" s="745"/>
      <c r="F47" s="757"/>
      <c r="G47" s="757"/>
      <c r="H47" s="750"/>
      <c r="I47" s="757"/>
      <c r="J47" s="757"/>
    </row>
    <row r="48" spans="2:10" ht="30" customHeight="1" thickBot="1">
      <c r="B48" s="738" t="s">
        <v>1900</v>
      </c>
      <c r="C48" s="744"/>
      <c r="D48" s="1372" t="s">
        <v>1901</v>
      </c>
      <c r="E48" s="1373"/>
      <c r="F48" s="758">
        <f>SUM(F40,F43:F46)</f>
        <v>37.857758887662754</v>
      </c>
      <c r="G48" s="758">
        <f t="shared" ref="G48:J48" si="3">SUM(G40,G43:G46)</f>
        <v>82.35141750000021</v>
      </c>
      <c r="H48" s="758">
        <f>SUM(H40,H43:H46)+0.01</f>
        <v>92.962000000000131</v>
      </c>
      <c r="I48" s="758">
        <f t="shared" si="3"/>
        <v>166.46775888766169</v>
      </c>
      <c r="J48" s="758">
        <f t="shared" si="3"/>
        <v>584.57802269131969</v>
      </c>
    </row>
    <row r="49" spans="2:10">
      <c r="B49" s="738"/>
      <c r="C49" s="744"/>
      <c r="D49" s="748"/>
      <c r="E49" s="745"/>
      <c r="F49" s="756"/>
      <c r="G49" s="756"/>
      <c r="H49" s="752"/>
      <c r="I49" s="756"/>
      <c r="J49" s="756"/>
    </row>
    <row r="50" spans="2:10" ht="27.75" customHeight="1">
      <c r="B50" s="738" t="s">
        <v>1902</v>
      </c>
      <c r="C50" s="744"/>
      <c r="D50" s="1372" t="s">
        <v>1903</v>
      </c>
      <c r="E50" s="1373"/>
      <c r="F50" s="746">
        <v>269.23</v>
      </c>
      <c r="G50" s="746">
        <v>269.23</v>
      </c>
      <c r="H50" s="746">
        <v>269.23</v>
      </c>
      <c r="I50" s="746">
        <v>269.23</v>
      </c>
      <c r="J50" s="746">
        <v>269.23</v>
      </c>
    </row>
    <row r="51" spans="2:10">
      <c r="B51" s="738"/>
      <c r="C51" s="744"/>
      <c r="D51" s="748"/>
      <c r="E51" s="745"/>
      <c r="F51" s="756"/>
      <c r="G51" s="756"/>
      <c r="H51" s="752"/>
      <c r="I51" s="756"/>
      <c r="J51" s="756"/>
    </row>
    <row r="52" spans="2:10">
      <c r="B52" s="738" t="s">
        <v>1904</v>
      </c>
      <c r="C52" s="744"/>
      <c r="D52" s="732" t="s">
        <v>1905</v>
      </c>
      <c r="E52" s="745"/>
      <c r="F52" s="756"/>
      <c r="G52" s="756"/>
      <c r="H52" s="752"/>
      <c r="I52" s="756"/>
      <c r="J52" s="756"/>
    </row>
    <row r="53" spans="2:10">
      <c r="B53" s="738"/>
      <c r="C53" s="744" t="s">
        <v>1867</v>
      </c>
      <c r="D53" s="748" t="s">
        <v>1906</v>
      </c>
      <c r="E53" s="745"/>
      <c r="F53" s="746">
        <f>F40/(F50/10)</f>
        <v>1.4753284881945827</v>
      </c>
      <c r="G53" s="746">
        <f t="shared" ref="G53:J53" si="4">G40/(G50/10)</f>
        <v>3.058775675073365</v>
      </c>
      <c r="H53" s="746">
        <f t="shared" si="4"/>
        <v>3.6515990045685891</v>
      </c>
      <c r="I53" s="746">
        <f>I40/(I50/10)</f>
        <v>6.2522849937845582</v>
      </c>
      <c r="J53" s="746">
        <f t="shared" si="4"/>
        <v>21.911882133912258</v>
      </c>
    </row>
    <row r="54" spans="2:10">
      <c r="B54" s="738"/>
      <c r="C54" s="744" t="s">
        <v>1869</v>
      </c>
      <c r="D54" s="748" t="s">
        <v>1907</v>
      </c>
      <c r="E54" s="745"/>
      <c r="F54" s="746">
        <f>F40/(F50/10)</f>
        <v>1.4753284881945827</v>
      </c>
      <c r="G54" s="746">
        <f t="shared" ref="G54:J54" si="5">G40/(G50/10)</f>
        <v>3.058775675073365</v>
      </c>
      <c r="H54" s="746">
        <f t="shared" si="5"/>
        <v>3.6515990045685891</v>
      </c>
      <c r="I54" s="746">
        <f>I40/(I50/10)</f>
        <v>6.2522849937845582</v>
      </c>
      <c r="J54" s="746">
        <f t="shared" si="5"/>
        <v>21.911882133912258</v>
      </c>
    </row>
    <row r="55" spans="2:10">
      <c r="B55" s="760"/>
      <c r="C55" s="761"/>
      <c r="D55" s="762"/>
      <c r="E55" s="763"/>
      <c r="F55" s="761"/>
      <c r="G55" s="761"/>
      <c r="H55" s="762"/>
      <c r="I55" s="761"/>
      <c r="J55" s="761"/>
    </row>
    <row r="56" spans="2:10">
      <c r="I56" s="764"/>
      <c r="J56" s="764"/>
    </row>
    <row r="57" spans="2:10">
      <c r="B57" s="250" t="s">
        <v>1908</v>
      </c>
      <c r="I57" s="748"/>
      <c r="J57" s="748"/>
    </row>
    <row r="58" spans="2:10">
      <c r="B58" s="765" t="s">
        <v>1909</v>
      </c>
      <c r="C58" s="1368" t="s">
        <v>1995</v>
      </c>
      <c r="D58" s="1368"/>
      <c r="E58" s="1368"/>
      <c r="F58" s="1368"/>
      <c r="G58" s="1368"/>
      <c r="H58" s="1368"/>
      <c r="I58" s="1368"/>
      <c r="J58" s="1368"/>
    </row>
    <row r="59" spans="2:10">
      <c r="B59" s="765"/>
      <c r="H59" s="748"/>
      <c r="I59" s="748"/>
      <c r="J59" s="748"/>
    </row>
    <row r="60" spans="2:10" ht="57" customHeight="1">
      <c r="B60" s="765" t="s">
        <v>1910</v>
      </c>
      <c r="C60" s="1368" t="s">
        <v>1911</v>
      </c>
      <c r="D60" s="1368"/>
      <c r="E60" s="1368"/>
      <c r="F60" s="1368"/>
      <c r="G60" s="1368"/>
      <c r="H60" s="1368"/>
      <c r="I60" s="1368"/>
      <c r="J60" s="1368"/>
    </row>
    <row r="61" spans="2:10">
      <c r="B61" s="766"/>
      <c r="H61" s="748"/>
      <c r="I61" s="748"/>
      <c r="J61" s="748"/>
    </row>
    <row r="62" spans="2:10">
      <c r="B62" s="765" t="s">
        <v>1912</v>
      </c>
      <c r="C62" t="s">
        <v>1913</v>
      </c>
    </row>
    <row r="63" spans="2:10">
      <c r="B63" s="766"/>
    </row>
    <row r="64" spans="2:10">
      <c r="B64" s="766" t="s">
        <v>1914</v>
      </c>
      <c r="C64" t="s">
        <v>1915</v>
      </c>
    </row>
    <row r="66" spans="2:10" ht="30" customHeight="1">
      <c r="B66" s="817" t="s">
        <v>1993</v>
      </c>
      <c r="C66" s="1368" t="s">
        <v>1997</v>
      </c>
      <c r="D66" s="1368"/>
      <c r="E66" s="1368"/>
      <c r="F66" s="1368"/>
      <c r="G66" s="1368"/>
      <c r="H66" s="1368"/>
      <c r="I66" s="1368"/>
      <c r="J66" s="1368"/>
    </row>
  </sheetData>
  <mergeCells count="22">
    <mergeCell ref="D23:E23"/>
    <mergeCell ref="C58:J58"/>
    <mergeCell ref="C60:J60"/>
    <mergeCell ref="I8:I11"/>
    <mergeCell ref="J8:J11"/>
    <mergeCell ref="D50:E50"/>
    <mergeCell ref="C66:J66"/>
    <mergeCell ref="B1:J1"/>
    <mergeCell ref="B2:J2"/>
    <mergeCell ref="B3:J3"/>
    <mergeCell ref="B5:J5"/>
    <mergeCell ref="D48:E48"/>
    <mergeCell ref="D34:E34"/>
    <mergeCell ref="D40:E40"/>
    <mergeCell ref="D31:E31"/>
    <mergeCell ref="F10:F11"/>
    <mergeCell ref="G10:G11"/>
    <mergeCell ref="H10:H11"/>
    <mergeCell ref="B8:B12"/>
    <mergeCell ref="C8:C12"/>
    <mergeCell ref="D8:E12"/>
    <mergeCell ref="F8:H9"/>
  </mergeCells>
  <pageMargins left="0.7" right="0.7" top="0.75" bottom="0.75" header="0.3" footer="0.3"/>
  <pageSetup paperSize="9" scale="4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2"/>
  <sheetViews>
    <sheetView view="pageBreakPreview" topLeftCell="A15" zoomScaleNormal="100" zoomScaleSheetLayoutView="100" workbookViewId="0">
      <selection activeCell="D23" sqref="D23"/>
    </sheetView>
  </sheetViews>
  <sheetFormatPr defaultRowHeight="15"/>
  <cols>
    <col min="2" max="2" width="43.42578125" customWidth="1"/>
    <col min="3" max="3" width="22.140625" customWidth="1"/>
    <col min="4" max="4" width="24" style="19" customWidth="1"/>
    <col min="5" max="5" width="16" customWidth="1"/>
  </cols>
  <sheetData>
    <row r="1" spans="1:4" ht="4.5" customHeight="1">
      <c r="A1">
        <v>100000</v>
      </c>
    </row>
    <row r="2" spans="1:4" ht="26.25" customHeight="1">
      <c r="B2" s="1392" t="s">
        <v>750</v>
      </c>
      <c r="C2" s="1392"/>
      <c r="D2" s="1392"/>
    </row>
    <row r="3" spans="1:4" ht="26.25" customHeight="1">
      <c r="B3" s="1392" t="s">
        <v>1940</v>
      </c>
      <c r="C3" s="1392"/>
      <c r="D3" s="1392"/>
    </row>
    <row r="4" spans="1:4" ht="26.25" customHeight="1">
      <c r="B4" s="767"/>
      <c r="C4" s="767"/>
      <c r="D4" s="806"/>
    </row>
    <row r="5" spans="1:4" ht="21.75" thickBot="1">
      <c r="B5" s="768"/>
      <c r="C5" s="768"/>
      <c r="D5" s="769" t="s">
        <v>1860</v>
      </c>
    </row>
    <row r="6" spans="1:4" ht="15.75">
      <c r="B6" s="1393" t="s">
        <v>9</v>
      </c>
      <c r="C6" s="69">
        <v>43921</v>
      </c>
      <c r="D6" s="69">
        <v>43555</v>
      </c>
    </row>
    <row r="7" spans="1:4" ht="15.75">
      <c r="B7" s="1394"/>
      <c r="C7" s="70" t="s">
        <v>1864</v>
      </c>
      <c r="D7" s="70" t="s">
        <v>1864</v>
      </c>
    </row>
    <row r="8" spans="1:4" ht="15.75">
      <c r="B8" s="71" t="s">
        <v>753</v>
      </c>
      <c r="C8" s="770"/>
      <c r="D8" s="771"/>
    </row>
    <row r="9" spans="1:4" ht="21" customHeight="1">
      <c r="B9" s="728" t="s">
        <v>754</v>
      </c>
      <c r="C9" s="770"/>
      <c r="D9" s="771"/>
    </row>
    <row r="10" spans="1:4" ht="15.75">
      <c r="B10" s="72" t="s">
        <v>755</v>
      </c>
      <c r="C10" s="772">
        <f>+BSPL!F8/$A$1</f>
        <v>2263.9516721986934</v>
      </c>
      <c r="D10" s="772">
        <f>+BSPL!G8/$A$1</f>
        <v>2344.1187055999999</v>
      </c>
    </row>
    <row r="11" spans="1:4" ht="15.75">
      <c r="B11" s="72" t="s">
        <v>757</v>
      </c>
      <c r="C11" s="772">
        <f>+BSPL!F9/$A$1</f>
        <v>4.0247919999999997</v>
      </c>
      <c r="D11" s="772">
        <f>+BSPL!G9/$A$1</f>
        <v>4.8478899999999996</v>
      </c>
    </row>
    <row r="12" spans="1:4" ht="15.75">
      <c r="B12" s="73" t="s">
        <v>759</v>
      </c>
      <c r="C12" s="773"/>
      <c r="D12" s="773"/>
    </row>
    <row r="13" spans="1:4" ht="15.75">
      <c r="B13" s="74" t="s">
        <v>1916</v>
      </c>
      <c r="C13" s="772">
        <f>+BSPL!F11/$A$1</f>
        <v>22.132349999999999</v>
      </c>
      <c r="D13" s="772">
        <f>+BSPL!G11/$A$1</f>
        <v>28.705549999999999</v>
      </c>
    </row>
    <row r="14" spans="1:4" ht="15.75">
      <c r="B14" s="727" t="s">
        <v>761</v>
      </c>
      <c r="C14" s="772">
        <f>+BSPL!F12/$A$1</f>
        <v>63.772410000000001</v>
      </c>
      <c r="D14" s="772">
        <f>+BSPL!G12/$A$1</f>
        <v>56.74789359999999</v>
      </c>
    </row>
    <row r="15" spans="1:4" ht="15.75">
      <c r="B15" s="774" t="s">
        <v>1917</v>
      </c>
      <c r="C15" s="775">
        <f>SUM(C10:C14)</f>
        <v>2353.8812241986934</v>
      </c>
      <c r="D15" s="775">
        <f>SUM(D10:D14)</f>
        <v>2434.4200391999998</v>
      </c>
    </row>
    <row r="16" spans="1:4" ht="15.75">
      <c r="B16" s="774" t="s">
        <v>763</v>
      </c>
      <c r="C16" s="773"/>
      <c r="D16" s="773"/>
    </row>
    <row r="17" spans="2:4" ht="15.75">
      <c r="B17" s="727" t="s">
        <v>764</v>
      </c>
      <c r="C17" s="772">
        <f>+BSPL!F15/$A$1</f>
        <v>678.23511895976264</v>
      </c>
      <c r="D17" s="772">
        <f>+BSPL!G15/$A$1</f>
        <v>511.84927105289808</v>
      </c>
    </row>
    <row r="18" spans="2:4" ht="15.75">
      <c r="B18" s="727" t="s">
        <v>759</v>
      </c>
      <c r="C18" s="773"/>
      <c r="D18" s="773"/>
    </row>
    <row r="19" spans="2:4" ht="15.75">
      <c r="B19" s="75" t="s">
        <v>1918</v>
      </c>
      <c r="C19" s="772">
        <f>+BSPL!F17/$A$1</f>
        <v>948.54387999999994</v>
      </c>
      <c r="D19" s="772">
        <f>+BSPL!G17/$A$1</f>
        <v>899.57465500000001</v>
      </c>
    </row>
    <row r="20" spans="2:4" ht="15.75">
      <c r="B20" s="75" t="s">
        <v>1919</v>
      </c>
      <c r="C20" s="772">
        <f>+BSPL!F18/$A$1</f>
        <v>2.83263</v>
      </c>
      <c r="D20" s="772">
        <f>+BSPL!G18/$A$1</f>
        <v>0.96649499999999999</v>
      </c>
    </row>
    <row r="21" spans="2:4" ht="15.75">
      <c r="B21" s="75" t="s">
        <v>1920</v>
      </c>
      <c r="C21" s="772">
        <f>+BSPL!F19/$A$1</f>
        <v>0.83453500000000003</v>
      </c>
      <c r="D21" s="772">
        <f>+BSPL!G19/$A$1</f>
        <v>1.923</v>
      </c>
    </row>
    <row r="22" spans="2:4" ht="15.75">
      <c r="B22" s="75" t="s">
        <v>1921</v>
      </c>
      <c r="C22" s="772">
        <f>+BSPL!F20/$A$1</f>
        <v>85.432999600000002</v>
      </c>
      <c r="D22" s="772">
        <f>+BSPL!G20/$A$1</f>
        <v>57.691581199999995</v>
      </c>
    </row>
    <row r="23" spans="2:4" ht="15.75">
      <c r="B23" s="727" t="s">
        <v>769</v>
      </c>
      <c r="C23" s="772">
        <f>+BSPL!F21/$A$1</f>
        <v>51.067357999999992</v>
      </c>
      <c r="D23" s="772">
        <f>+BSPL!G21/$A$1</f>
        <v>72.766081800000009</v>
      </c>
    </row>
    <row r="24" spans="2:4" ht="15.75">
      <c r="B24" s="727" t="s">
        <v>770</v>
      </c>
      <c r="C24" s="772">
        <f>+BSPL!F22/$A$1</f>
        <v>5.8509399999999996</v>
      </c>
      <c r="D24" s="772">
        <f>+BSPL!G22/$A$1</f>
        <v>5.72621</v>
      </c>
    </row>
    <row r="25" spans="2:4" ht="16.5" thickBot="1">
      <c r="B25" s="776" t="s">
        <v>1922</v>
      </c>
      <c r="C25" s="777">
        <f>SUM(C17:C24)</f>
        <v>1772.7974615597627</v>
      </c>
      <c r="D25" s="777">
        <f>SUM(D17:D24)</f>
        <v>1550.4972940528978</v>
      </c>
    </row>
    <row r="26" spans="2:4" ht="16.5" thickBot="1">
      <c r="B26" s="778" t="s">
        <v>1923</v>
      </c>
      <c r="C26" s="779">
        <f>C25+C15</f>
        <v>4126.6786857584557</v>
      </c>
      <c r="D26" s="780">
        <f>SUM(D25+D15)</f>
        <v>3984.9173332528976</v>
      </c>
    </row>
    <row r="27" spans="2:4" ht="16.5" thickTop="1">
      <c r="B27" s="781"/>
      <c r="C27" s="782"/>
      <c r="D27" s="812"/>
    </row>
    <row r="28" spans="2:4" ht="15.75">
      <c r="B28" s="783" t="s">
        <v>772</v>
      </c>
      <c r="C28" s="784"/>
      <c r="D28" s="773"/>
    </row>
    <row r="29" spans="2:4" ht="15.75">
      <c r="B29" s="76" t="s">
        <v>1924</v>
      </c>
      <c r="C29" s="772"/>
      <c r="D29" s="773"/>
    </row>
    <row r="30" spans="2:4" ht="15.75">
      <c r="B30" s="74" t="s">
        <v>1925</v>
      </c>
      <c r="C30" s="772">
        <f>+BSPL!F29/$A$1</f>
        <v>269.22649999999999</v>
      </c>
      <c r="D30" s="772">
        <f>+BSPL!G29/$A$1</f>
        <v>269.22649999999999</v>
      </c>
    </row>
    <row r="31" spans="2:4" ht="15.75">
      <c r="B31" s="74" t="s">
        <v>1926</v>
      </c>
      <c r="C31" s="772">
        <f>+BSPL!F30/$A$1</f>
        <v>2059.6913615789822</v>
      </c>
      <c r="D31" s="772">
        <f>+BSPL!G30/$A$1</f>
        <v>1947.6330826913195</v>
      </c>
    </row>
    <row r="32" spans="2:4" ht="15.75">
      <c r="B32" s="785" t="s">
        <v>1927</v>
      </c>
      <c r="C32" s="775">
        <f>SUM(C30:C31)</f>
        <v>2328.9178615789824</v>
      </c>
      <c r="D32" s="775">
        <f>SUM(D30:D31)</f>
        <v>2216.8595826913197</v>
      </c>
    </row>
    <row r="33" spans="2:6" ht="15.75">
      <c r="B33" s="76" t="s">
        <v>777</v>
      </c>
      <c r="C33" s="772"/>
      <c r="D33" s="773"/>
    </row>
    <row r="34" spans="2:6" ht="15.75">
      <c r="B34" s="74" t="s">
        <v>778</v>
      </c>
      <c r="C34" s="772"/>
      <c r="D34" s="773"/>
    </row>
    <row r="35" spans="2:6" ht="15.75">
      <c r="B35" s="74" t="s">
        <v>779</v>
      </c>
      <c r="C35" s="772">
        <f>+BSPL!F34/$A$1</f>
        <v>263.42950999999999</v>
      </c>
      <c r="D35" s="772">
        <f>+BSPL!G34/$A$1</f>
        <v>311.05626999999998</v>
      </c>
    </row>
    <row r="36" spans="2:6" ht="15.75">
      <c r="B36" s="74" t="s">
        <v>1942</v>
      </c>
      <c r="C36" s="772">
        <f>+BSPL!F35/$A$1</f>
        <v>21.833547000000003</v>
      </c>
      <c r="D36" s="772">
        <f>+BSPL!G35/$A$1</f>
        <v>16.62107</v>
      </c>
    </row>
    <row r="37" spans="2:6" ht="15.75">
      <c r="B37" s="74" t="s">
        <v>780</v>
      </c>
      <c r="C37" s="772">
        <f>+BSPL!F36/$A$1</f>
        <v>184.5679150226473</v>
      </c>
      <c r="D37" s="772">
        <f>+BSPL!G36/$A$1</f>
        <v>130.24010074278752</v>
      </c>
    </row>
    <row r="38" spans="2:6" ht="15.75">
      <c r="B38" s="786" t="s">
        <v>1928</v>
      </c>
      <c r="C38" s="775">
        <f>SUM(C35:C37)</f>
        <v>469.8309720226473</v>
      </c>
      <c r="D38" s="775">
        <f>SUM(D35:D37)</f>
        <v>457.91744074278745</v>
      </c>
    </row>
    <row r="39" spans="2:6" ht="15.75">
      <c r="B39" s="76" t="s">
        <v>782</v>
      </c>
      <c r="C39" s="772"/>
      <c r="D39" s="773"/>
    </row>
    <row r="40" spans="2:6" ht="15.75">
      <c r="B40" s="74" t="s">
        <v>778</v>
      </c>
      <c r="C40" s="772"/>
      <c r="D40" s="773"/>
    </row>
    <row r="41" spans="2:6" ht="15.75">
      <c r="B41" s="74" t="s">
        <v>779</v>
      </c>
      <c r="C41" s="772">
        <f>+BSPL!F40/$A$1</f>
        <v>618.4353059</v>
      </c>
      <c r="D41" s="772">
        <f>+BSPL!G40/$A$1</f>
        <v>556.75684390000004</v>
      </c>
    </row>
    <row r="42" spans="2:6" ht="15.75">
      <c r="B42" s="74" t="s">
        <v>1929</v>
      </c>
      <c r="C42" s="772">
        <f>+BSPL!F41/$A$1</f>
        <v>590.4546656</v>
      </c>
      <c r="D42" s="772">
        <f>+BSPL!G41/$A$1</f>
        <v>496.56875130000003</v>
      </c>
    </row>
    <row r="43" spans="2:6" ht="15.75">
      <c r="B43" s="74" t="s">
        <v>1930</v>
      </c>
      <c r="C43" s="772">
        <f>+BSPL!F42/$A$1</f>
        <v>82.409969399999994</v>
      </c>
      <c r="D43" s="772">
        <f>+BSPL!G42/$A$1</f>
        <v>205.99587</v>
      </c>
    </row>
    <row r="44" spans="2:6" ht="15.75">
      <c r="B44" s="74" t="s">
        <v>1931</v>
      </c>
      <c r="C44" s="772">
        <f>+BSPL!F43/$A$1</f>
        <v>5.3784243999999992</v>
      </c>
      <c r="D44" s="772">
        <f>+BSPL!G43/$A$1</f>
        <v>5.3920543999999992</v>
      </c>
    </row>
    <row r="45" spans="2:6" ht="15.75">
      <c r="B45" s="74" t="s">
        <v>786</v>
      </c>
      <c r="C45" s="772">
        <f>+BSPL!F44/$A$1</f>
        <v>31.251491802879329</v>
      </c>
      <c r="D45" s="772">
        <f>+BSPL!G44/$A$1</f>
        <v>45.426794212679489</v>
      </c>
    </row>
    <row r="46" spans="2:6" ht="16.5" thickBot="1">
      <c r="B46" s="787" t="s">
        <v>1932</v>
      </c>
      <c r="C46" s="777">
        <f>SUM(C41:C45)</f>
        <v>1327.9298571028794</v>
      </c>
      <c r="D46" s="777">
        <f>SUM(D41:D45)</f>
        <v>1310.1403138126793</v>
      </c>
    </row>
    <row r="47" spans="2:6" ht="16.5" thickBot="1">
      <c r="B47" s="788" t="s">
        <v>1933</v>
      </c>
      <c r="C47" s="789">
        <f>C32+C38+C46</f>
        <v>4126.6786907045089</v>
      </c>
      <c r="D47" s="789">
        <f>D32+D38+D46</f>
        <v>3984.9173372467862</v>
      </c>
    </row>
    <row r="48" spans="2:6" ht="15.75" thickTop="1">
      <c r="B48" s="790"/>
      <c r="C48" s="790"/>
      <c r="D48" s="813"/>
      <c r="E48" s="77">
        <f>+C47-C26</f>
        <v>4.9460531954537146E-6</v>
      </c>
      <c r="F48" s="77">
        <f>+D47-D26</f>
        <v>3.9938886402524076E-6</v>
      </c>
    </row>
    <row r="49" spans="2:7">
      <c r="B49" s="254" t="s">
        <v>1934</v>
      </c>
      <c r="C49" s="791"/>
      <c r="D49" s="813"/>
    </row>
    <row r="50" spans="2:7">
      <c r="B50" s="78" t="s">
        <v>1934</v>
      </c>
      <c r="F50" s="77"/>
      <c r="G50" s="1"/>
    </row>
    <row r="51" spans="2:7" ht="32.25" customHeight="1">
      <c r="B51" s="1368" t="s">
        <v>1994</v>
      </c>
      <c r="C51" s="1368"/>
      <c r="D51" s="1368"/>
      <c r="E51" s="792"/>
      <c r="F51" s="792"/>
      <c r="G51" s="792"/>
    </row>
    <row r="52" spans="2:7">
      <c r="B52" s="792"/>
      <c r="C52" s="792"/>
      <c r="D52" s="814"/>
      <c r="E52" s="792"/>
      <c r="F52" s="792"/>
      <c r="G52" s="792"/>
    </row>
    <row r="53" spans="2:7">
      <c r="B53" t="s">
        <v>1935</v>
      </c>
      <c r="F53" s="77"/>
      <c r="G53" s="1"/>
    </row>
    <row r="54" spans="2:7">
      <c r="B54" s="791"/>
      <c r="C54" s="791"/>
      <c r="D54" s="813"/>
    </row>
    <row r="55" spans="2:7">
      <c r="B55" s="791"/>
      <c r="C55" s="791"/>
      <c r="D55" s="813"/>
    </row>
    <row r="56" spans="2:7">
      <c r="B56" s="791"/>
      <c r="C56" s="791"/>
      <c r="D56" s="813"/>
    </row>
    <row r="57" spans="2:7">
      <c r="B57" s="791"/>
      <c r="C57" s="791"/>
      <c r="D57" s="813"/>
    </row>
    <row r="58" spans="2:7">
      <c r="B58" s="791"/>
      <c r="C58" s="791"/>
      <c r="D58" s="813"/>
    </row>
    <row r="59" spans="2:7">
      <c r="B59" s="791"/>
      <c r="C59" s="791"/>
      <c r="D59" s="813"/>
    </row>
    <row r="60" spans="2:7">
      <c r="B60" s="791"/>
      <c r="C60" s="791"/>
      <c r="D60" s="813"/>
    </row>
    <row r="61" spans="2:7">
      <c r="B61" s="791"/>
      <c r="C61" s="791"/>
      <c r="D61" s="813"/>
    </row>
    <row r="62" spans="2:7">
      <c r="B62" s="791"/>
      <c r="C62" s="791"/>
      <c r="D62" s="813"/>
    </row>
    <row r="63" spans="2:7">
      <c r="B63" s="791"/>
      <c r="C63" s="791"/>
      <c r="D63" s="813"/>
    </row>
    <row r="64" spans="2:7">
      <c r="B64" s="791"/>
      <c r="C64" s="791"/>
      <c r="D64" s="813"/>
    </row>
    <row r="65" spans="2:4">
      <c r="B65" s="791"/>
      <c r="C65" s="791"/>
      <c r="D65" s="813"/>
    </row>
    <row r="66" spans="2:4">
      <c r="B66" s="791"/>
      <c r="C66" s="791"/>
      <c r="D66" s="813"/>
    </row>
    <row r="67" spans="2:4">
      <c r="B67" s="791"/>
      <c r="C67" s="791"/>
      <c r="D67" s="813"/>
    </row>
    <row r="68" spans="2:4">
      <c r="B68" s="791"/>
      <c r="C68" s="791"/>
      <c r="D68" s="813"/>
    </row>
    <row r="69" spans="2:4">
      <c r="B69" s="791"/>
      <c r="C69" s="791"/>
      <c r="D69" s="813"/>
    </row>
    <row r="70" spans="2:4">
      <c r="B70" s="791"/>
      <c r="C70" s="791"/>
      <c r="D70" s="813"/>
    </row>
    <row r="71" spans="2:4">
      <c r="B71" s="791"/>
      <c r="C71" s="791"/>
      <c r="D71" s="813"/>
    </row>
    <row r="72" spans="2:4">
      <c r="B72" s="791"/>
      <c r="C72" s="791"/>
      <c r="D72" s="813"/>
    </row>
    <row r="73" spans="2:4">
      <c r="B73" s="791"/>
      <c r="C73" s="791"/>
      <c r="D73" s="813"/>
    </row>
    <row r="74" spans="2:4">
      <c r="B74" s="791"/>
      <c r="C74" s="791"/>
      <c r="D74" s="813"/>
    </row>
    <row r="75" spans="2:4">
      <c r="B75" s="791"/>
      <c r="C75" s="791"/>
      <c r="D75" s="813"/>
    </row>
    <row r="76" spans="2:4">
      <c r="B76" s="791"/>
      <c r="C76" s="791"/>
      <c r="D76" s="813"/>
    </row>
    <row r="77" spans="2:4" ht="15.75" customHeight="1">
      <c r="B77" s="791"/>
      <c r="C77" s="791"/>
      <c r="D77" s="813"/>
    </row>
    <row r="78" spans="2:4" ht="15.75" customHeight="1">
      <c r="B78" s="791"/>
      <c r="C78" s="791"/>
      <c r="D78" s="813"/>
    </row>
    <row r="79" spans="2:4">
      <c r="B79" s="791"/>
      <c r="C79" s="791"/>
      <c r="D79" s="813"/>
    </row>
    <row r="80" spans="2:4">
      <c r="B80" s="791"/>
      <c r="C80" s="791"/>
      <c r="D80" s="813"/>
    </row>
    <row r="81" spans="2:4">
      <c r="B81" s="791"/>
      <c r="C81" s="791"/>
      <c r="D81" s="813"/>
    </row>
    <row r="82" spans="2:4">
      <c r="B82" s="791"/>
      <c r="C82" s="791"/>
      <c r="D82" s="813"/>
    </row>
    <row r="83" spans="2:4">
      <c r="B83" s="791"/>
      <c r="C83" s="791"/>
      <c r="D83" s="813"/>
    </row>
    <row r="84" spans="2:4">
      <c r="B84" s="791"/>
      <c r="C84" s="791"/>
      <c r="D84" s="813"/>
    </row>
    <row r="85" spans="2:4">
      <c r="B85" s="791"/>
      <c r="C85" s="791"/>
      <c r="D85" s="813"/>
    </row>
    <row r="86" spans="2:4">
      <c r="B86" s="791"/>
      <c r="C86" s="791"/>
      <c r="D86" s="813"/>
    </row>
    <row r="87" spans="2:4">
      <c r="B87" s="791"/>
      <c r="C87" s="791"/>
      <c r="D87" s="813"/>
    </row>
    <row r="88" spans="2:4">
      <c r="B88" s="791"/>
      <c r="C88" s="791"/>
      <c r="D88" s="813"/>
    </row>
    <row r="89" spans="2:4">
      <c r="B89" s="791"/>
      <c r="C89" s="791"/>
      <c r="D89" s="813"/>
    </row>
    <row r="90" spans="2:4" ht="15.75" customHeight="1">
      <c r="B90" s="791"/>
      <c r="C90" s="791"/>
      <c r="D90" s="813"/>
    </row>
    <row r="91" spans="2:4">
      <c r="B91" s="791"/>
      <c r="C91" s="791"/>
      <c r="D91" s="813"/>
    </row>
    <row r="92" spans="2:4">
      <c r="B92" s="791"/>
      <c r="C92" s="791"/>
      <c r="D92" s="813"/>
    </row>
    <row r="93" spans="2:4">
      <c r="B93" s="791"/>
      <c r="C93" s="791"/>
      <c r="D93" s="813"/>
    </row>
    <row r="94" spans="2:4">
      <c r="B94" s="791"/>
      <c r="C94" s="791"/>
      <c r="D94" s="813"/>
    </row>
    <row r="95" spans="2:4">
      <c r="B95" s="791"/>
      <c r="C95" s="791"/>
      <c r="D95" s="813"/>
    </row>
    <row r="96" spans="2:4">
      <c r="B96" s="791"/>
      <c r="C96" s="791"/>
      <c r="D96" s="813"/>
    </row>
    <row r="97" spans="2:4">
      <c r="B97" s="791"/>
      <c r="C97" s="791"/>
      <c r="D97" s="813"/>
    </row>
    <row r="98" spans="2:4">
      <c r="B98" s="791"/>
      <c r="C98" s="791"/>
      <c r="D98" s="813"/>
    </row>
    <row r="99" spans="2:4">
      <c r="B99" s="791"/>
      <c r="C99" s="791"/>
      <c r="D99" s="813"/>
    </row>
    <row r="104" spans="2:4" ht="15.75" customHeight="1"/>
    <row r="112" spans="2:4" ht="16.5" customHeight="1"/>
  </sheetData>
  <mergeCells count="4">
    <mergeCell ref="B2:D2"/>
    <mergeCell ref="B3:D3"/>
    <mergeCell ref="B6:B7"/>
    <mergeCell ref="B51:D51"/>
  </mergeCells>
  <pageMargins left="0.70866141732283472" right="0.70866141732283472" top="0.74803149606299213" bottom="0.74803149606299213" header="0.31496062992125984" footer="0.31496062992125984"/>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view="pageBreakPreview" zoomScale="60" zoomScaleNormal="100" workbookViewId="0">
      <selection activeCell="B6" sqref="B6"/>
    </sheetView>
  </sheetViews>
  <sheetFormatPr defaultRowHeight="15"/>
  <cols>
    <col min="2" max="2" width="87.7109375" customWidth="1"/>
    <col min="3" max="3" width="17.28515625" style="1" bestFit="1" customWidth="1"/>
    <col min="4" max="4" width="17.7109375" style="1" customWidth="1"/>
  </cols>
  <sheetData>
    <row r="1" spans="1:4">
      <c r="A1">
        <v>100000</v>
      </c>
    </row>
    <row r="3" spans="1:4" ht="26.25">
      <c r="B3" s="1395" t="s">
        <v>750</v>
      </c>
      <c r="C3" s="1396"/>
      <c r="D3" s="1396"/>
    </row>
    <row r="4" spans="1:4" ht="15.75">
      <c r="B4" s="793"/>
      <c r="C4" s="794"/>
      <c r="D4" s="794"/>
    </row>
    <row r="5" spans="1:4" ht="34.5" customHeight="1">
      <c r="B5" s="1397" t="s">
        <v>1996</v>
      </c>
      <c r="C5" s="1398"/>
      <c r="D5" s="1398"/>
    </row>
    <row r="6" spans="1:4" ht="16.5" thickBot="1">
      <c r="B6" s="795"/>
      <c r="C6" s="796"/>
      <c r="D6" s="796"/>
    </row>
    <row r="7" spans="1:4" ht="15.75" customHeight="1">
      <c r="B7" s="694" t="s">
        <v>1936</v>
      </c>
      <c r="C7" s="69">
        <v>43921</v>
      </c>
      <c r="D7" s="69">
        <v>43555</v>
      </c>
    </row>
    <row r="8" spans="1:4" ht="15.75">
      <c r="B8" s="697" t="s">
        <v>1811</v>
      </c>
      <c r="C8" s="70" t="s">
        <v>1864</v>
      </c>
      <c r="D8" s="70" t="s">
        <v>1864</v>
      </c>
    </row>
    <row r="9" spans="1:4" ht="15.75">
      <c r="B9" s="694" t="s">
        <v>1812</v>
      </c>
      <c r="C9" s="797">
        <f>+'Cash Flow Statement'!B8/$A$1</f>
        <v>214.98799410686374</v>
      </c>
      <c r="D9" s="797">
        <f>+'Cash Flow Statement'!C8/$A$1</f>
        <v>710.82787229667429</v>
      </c>
    </row>
    <row r="10" spans="1:4" ht="15.75">
      <c r="B10" s="696" t="s">
        <v>1813</v>
      </c>
      <c r="C10" s="798"/>
      <c r="D10" s="798"/>
    </row>
    <row r="11" spans="1:4" ht="17.25" customHeight="1">
      <c r="B11" s="696" t="s">
        <v>1814</v>
      </c>
      <c r="C11" s="799">
        <f>+'Cash Flow Statement'!B10/$A$1</f>
        <v>-1.8625100000000001</v>
      </c>
      <c r="D11" s="799">
        <f>+'Cash Flow Statement'!C10/$A$1</f>
        <v>-5.3555799999999998</v>
      </c>
    </row>
    <row r="12" spans="1:4" ht="15.75">
      <c r="B12" s="696" t="s">
        <v>1815</v>
      </c>
      <c r="C12" s="799">
        <f>+'Cash Flow Statement'!B11/$A$1</f>
        <v>171.92939000000001</v>
      </c>
      <c r="D12" s="799">
        <f>+'Cash Flow Statement'!C11/$A$1</f>
        <v>164.67599999999999</v>
      </c>
    </row>
    <row r="13" spans="1:4" ht="15.75">
      <c r="B13" s="696" t="s">
        <v>815</v>
      </c>
      <c r="C13" s="799">
        <f>+'Cash Flow Statement'!B12/$A$1</f>
        <v>93.563609400000018</v>
      </c>
      <c r="D13" s="799">
        <f>+'Cash Flow Statement'!C12/$A$1</f>
        <v>143.76693739999999</v>
      </c>
    </row>
    <row r="14" spans="1:4" ht="15.75">
      <c r="B14" s="696" t="s">
        <v>1816</v>
      </c>
      <c r="C14" s="799">
        <f>+'Cash Flow Statement'!B13/$A$1</f>
        <v>-0.18262999999999999</v>
      </c>
      <c r="D14" s="799">
        <f>+'Cash Flow Statement'!C13/$A$1</f>
        <v>0</v>
      </c>
    </row>
    <row r="15" spans="1:4" ht="15.75">
      <c r="B15" s="694" t="s">
        <v>1817</v>
      </c>
      <c r="C15" s="800">
        <f>SUM(C9:C14)</f>
        <v>478.43585350686374</v>
      </c>
      <c r="D15" s="800">
        <f>SUM(D9:D14)</f>
        <v>1013.9152296966743</v>
      </c>
    </row>
    <row r="16" spans="1:4" ht="15.75">
      <c r="B16" s="697" t="s">
        <v>1818</v>
      </c>
      <c r="C16" s="799"/>
      <c r="D16" s="799"/>
    </row>
    <row r="17" spans="2:4" ht="15.75">
      <c r="B17" s="696" t="s">
        <v>1819</v>
      </c>
      <c r="C17" s="799">
        <f>+'Cash Flow Statement'!B18/$A$1</f>
        <v>-166.38584790686451</v>
      </c>
      <c r="D17" s="799">
        <f>+'Cash Flow Statement'!C18/$A$1</f>
        <v>-83.870515396673682</v>
      </c>
    </row>
    <row r="18" spans="2:4" ht="15.75">
      <c r="B18" s="696" t="s">
        <v>1820</v>
      </c>
      <c r="C18" s="799">
        <f>+'Cash Flow Statement'!B19/$A$1</f>
        <v>-48.969225000000002</v>
      </c>
      <c r="D18" s="799">
        <f>+'Cash Flow Statement'!C19/$A$1</f>
        <v>105.00931369999989</v>
      </c>
    </row>
    <row r="19" spans="2:4" ht="15.75">
      <c r="B19" s="696" t="s">
        <v>1821</v>
      </c>
      <c r="C19" s="799">
        <f>+'Cash Flow Statement'!B20/$A$1</f>
        <v>-27.741418400000018</v>
      </c>
      <c r="D19" s="799">
        <f>+'Cash Flow Statement'!C20/$A$1</f>
        <v>-23.026575999999991</v>
      </c>
    </row>
    <row r="20" spans="2:4" ht="15.75">
      <c r="B20" s="696" t="s">
        <v>1822</v>
      </c>
      <c r="C20" s="799">
        <f>+'Cash Flow Statement'!B21/$A$1</f>
        <v>21.698723800000018</v>
      </c>
      <c r="D20" s="799">
        <f>+'Cash Flow Statement'!C21/$A$1</f>
        <v>11.206816099999985</v>
      </c>
    </row>
    <row r="21" spans="2:4" ht="15.75">
      <c r="B21" s="696" t="s">
        <v>1823</v>
      </c>
      <c r="C21" s="799">
        <f>+'Cash Flow Statement'!B22/$A$1</f>
        <v>1.088465</v>
      </c>
      <c r="D21" s="799">
        <f>+'Cash Flow Statement'!C22/$A$1</f>
        <v>6.2899999999999996E-3</v>
      </c>
    </row>
    <row r="22" spans="2:4" ht="15.75">
      <c r="B22" s="696" t="s">
        <v>1958</v>
      </c>
      <c r="C22" s="799">
        <f>+'Cash Flow Statement'!B23/$A$1</f>
        <v>93.885914299999925</v>
      </c>
      <c r="D22" s="799">
        <f>+'Cash Flow Statement'!C23/$A$1</f>
        <v>-154.7872563</v>
      </c>
    </row>
    <row r="23" spans="2:4" ht="15.75">
      <c r="B23" s="696" t="s">
        <v>1825</v>
      </c>
      <c r="C23" s="799">
        <f>+'Cash Flow Statement'!B24/$A$1</f>
        <v>5.2124770000000016</v>
      </c>
      <c r="D23" s="799">
        <f>+'Cash Flow Statement'!C24/$A$1</f>
        <v>-1.5062</v>
      </c>
    </row>
    <row r="24" spans="2:4" ht="15.75">
      <c r="B24" s="696" t="s">
        <v>1826</v>
      </c>
      <c r="C24" s="799">
        <f>+'Cash Flow Statement'!B25/$A$1</f>
        <v>-0.95174000000000003</v>
      </c>
      <c r="D24" s="799">
        <f>+'Cash Flow Statement'!C25/$A$1</f>
        <v>-0.40089999999999998</v>
      </c>
    </row>
    <row r="25" spans="2:4" ht="15.75">
      <c r="B25" s="696" t="s">
        <v>1827</v>
      </c>
      <c r="C25" s="799">
        <f>+'Cash Flow Statement'!B26/$A$1</f>
        <v>-1.363E-2</v>
      </c>
      <c r="D25" s="799">
        <f>+'Cash Flow Statement'!C26/$A$1</f>
        <v>-1.1288460000000056</v>
      </c>
    </row>
    <row r="26" spans="2:4" ht="15.75">
      <c r="B26" s="696" t="s">
        <v>1828</v>
      </c>
      <c r="C26" s="799">
        <f>+'Cash Flow Statement'!B27/$A$1</f>
        <v>0.71120000000000005</v>
      </c>
      <c r="D26" s="799">
        <f>+'Cash Flow Statement'!C27/$A$1</f>
        <v>9.3524499999999993</v>
      </c>
    </row>
    <row r="27" spans="2:4" ht="15.75">
      <c r="B27" s="696" t="s">
        <v>1829</v>
      </c>
      <c r="C27" s="799">
        <f>+'Cash Flow Statement'!B28/$A$1</f>
        <v>6.5731999999999999</v>
      </c>
      <c r="D27" s="799">
        <f>+'Cash Flow Statement'!C28/$A$1</f>
        <v>8.3849500000001867E-2</v>
      </c>
    </row>
    <row r="28" spans="2:4" ht="15.75">
      <c r="B28" s="696" t="s">
        <v>1830</v>
      </c>
      <c r="C28" s="799">
        <f>+'Cash Flow Statement'!B29/$A$1</f>
        <v>-22.242206400000008</v>
      </c>
      <c r="D28" s="799">
        <f>+'Cash Flow Statement'!C29/$A$1</f>
        <v>-1.7249699999999955</v>
      </c>
    </row>
    <row r="29" spans="2:4" ht="15.75">
      <c r="B29" s="694" t="s">
        <v>1831</v>
      </c>
      <c r="C29" s="800">
        <f>SUM(C16:C28)</f>
        <v>-137.13408760686457</v>
      </c>
      <c r="D29" s="800">
        <f>SUM(D16:D28)</f>
        <v>-140.78654439667378</v>
      </c>
    </row>
    <row r="30" spans="2:4" ht="15.75">
      <c r="B30" s="694" t="s">
        <v>1832</v>
      </c>
      <c r="C30" s="800">
        <f>+C29+C15</f>
        <v>341.30176589999917</v>
      </c>
      <c r="D30" s="800">
        <f>+D29+D15</f>
        <v>873.12868530000048</v>
      </c>
    </row>
    <row r="31" spans="2:4" ht="15.75">
      <c r="B31" s="697" t="s">
        <v>1833</v>
      </c>
      <c r="C31" s="799">
        <f>+'Cash Flow Statement'!B33/$A$1</f>
        <v>-61.750623349141691</v>
      </c>
      <c r="D31" s="799">
        <f>+'Cash Flow Statement'!C33/$A$1</f>
        <v>-136.74793</v>
      </c>
    </row>
    <row r="32" spans="2:4" ht="15.75">
      <c r="B32" s="694" t="s">
        <v>1834</v>
      </c>
      <c r="C32" s="800">
        <f>+C30+C31</f>
        <v>279.55114255085749</v>
      </c>
      <c r="D32" s="800">
        <f>+D30+D31</f>
        <v>736.38075530000049</v>
      </c>
    </row>
    <row r="33" spans="2:4" ht="15.75">
      <c r="B33" s="697" t="s">
        <v>1835</v>
      </c>
      <c r="C33" s="799"/>
      <c r="D33" s="799"/>
    </row>
    <row r="34" spans="2:4" ht="15.75">
      <c r="B34" s="696" t="s">
        <v>1836</v>
      </c>
      <c r="C34" s="799">
        <f>+'Cash Flow Statement'!B37/$A$1</f>
        <v>-86.298876499999992</v>
      </c>
      <c r="D34" s="799">
        <f>+'Cash Flow Statement'!C37/$A$1</f>
        <v>-213.84868</v>
      </c>
    </row>
    <row r="35" spans="2:4" ht="15.75">
      <c r="B35" s="696" t="s">
        <v>1837</v>
      </c>
      <c r="C35" s="799">
        <f>+'Cash Flow Statement'!B38/$A$1</f>
        <v>3</v>
      </c>
      <c r="D35" s="799">
        <f>+'Cash Flow Statement'!C38/$A$1</f>
        <v>0</v>
      </c>
    </row>
    <row r="36" spans="2:4" ht="15.75">
      <c r="B36" s="696" t="s">
        <v>1838</v>
      </c>
      <c r="C36" s="799">
        <f>+'Cash Flow Statement'!B39/$A$1</f>
        <v>0</v>
      </c>
      <c r="D36" s="799">
        <f>+'Cash Flow Statement'!C39/$A$1</f>
        <v>0</v>
      </c>
    </row>
    <row r="37" spans="2:4" ht="15.75">
      <c r="B37" s="696" t="s">
        <v>1839</v>
      </c>
      <c r="C37" s="799">
        <f>+'Cash Flow Statement'!B40/$A$1</f>
        <v>0</v>
      </c>
      <c r="D37" s="799">
        <f>+'Cash Flow Statement'!C40/$A$1</f>
        <v>0</v>
      </c>
    </row>
    <row r="38" spans="2:4" ht="15.75">
      <c r="B38" s="696" t="s">
        <v>1840</v>
      </c>
      <c r="C38" s="799">
        <f>+'Cash Flow Statement'!B41/$A$1</f>
        <v>0</v>
      </c>
      <c r="D38" s="799">
        <f>+'Cash Flow Statement'!C41/$A$1</f>
        <v>0</v>
      </c>
    </row>
    <row r="39" spans="2:4" ht="15.75">
      <c r="B39" s="696" t="s">
        <v>1841</v>
      </c>
      <c r="C39" s="799">
        <f>+'Cash Flow Statement'!B42/$A$1</f>
        <v>0</v>
      </c>
      <c r="D39" s="799">
        <f>+'Cash Flow Statement'!C42/$A$1</f>
        <v>0</v>
      </c>
    </row>
    <row r="40" spans="2:4" ht="15.75">
      <c r="B40" s="694" t="s">
        <v>1842</v>
      </c>
      <c r="C40" s="800">
        <f>SUM(C34:C39)</f>
        <v>-83.298876499999992</v>
      </c>
      <c r="D40" s="800">
        <f>SUM(D34:D39)</f>
        <v>-213.84868</v>
      </c>
    </row>
    <row r="41" spans="2:4" ht="15.75">
      <c r="B41" s="697" t="s">
        <v>1843</v>
      </c>
      <c r="C41" s="799"/>
      <c r="D41" s="799"/>
    </row>
    <row r="42" spans="2:4" ht="15.75">
      <c r="B42" s="696" t="s">
        <v>1844</v>
      </c>
      <c r="C42" s="799">
        <f>+'Cash Flow Statement'!B47/$A$1</f>
        <v>0</v>
      </c>
      <c r="D42" s="799">
        <f>+'Cash Flow Statement'!C47/$A$1</f>
        <v>0</v>
      </c>
    </row>
    <row r="43" spans="2:4" ht="15.75">
      <c r="B43" s="696" t="s">
        <v>1824</v>
      </c>
      <c r="C43" s="799">
        <f>+'Cash Flow Statement'!B48/$A$1</f>
        <v>61.678462000000032</v>
      </c>
      <c r="D43" s="799">
        <f>+'Cash Flow Statement'!C48/$A$1</f>
        <v>-12.705224799999968</v>
      </c>
    </row>
    <row r="44" spans="2:4" ht="15.75">
      <c r="B44" s="696" t="s">
        <v>1845</v>
      </c>
      <c r="C44" s="799">
        <f>+'Cash Flow Statement'!B49/$A$1</f>
        <v>-165.62108000000001</v>
      </c>
      <c r="D44" s="799">
        <f>+'Cash Flow Statement'!C49/$A$1</f>
        <v>-363.63803000000001</v>
      </c>
    </row>
    <row r="45" spans="2:4" ht="15.75">
      <c r="B45" s="696" t="s">
        <v>1846</v>
      </c>
      <c r="C45" s="799">
        <f>+'Cash Flow Statement'!B50/$A$1</f>
        <v>-90.443520000000021</v>
      </c>
      <c r="D45" s="799">
        <f>+'Cash Flow Statement'!C50/$A$1</f>
        <v>-145.6301674</v>
      </c>
    </row>
    <row r="46" spans="2:4" ht="15.75">
      <c r="B46" s="696" t="s">
        <v>1847</v>
      </c>
      <c r="C46" s="799">
        <f>+'Cash Flow Statement'!B51/$A$1</f>
        <v>0</v>
      </c>
      <c r="D46" s="799">
        <f>+'Cash Flow Statement'!C51/$A$1</f>
        <v>0</v>
      </c>
    </row>
    <row r="47" spans="2:4" ht="15.75">
      <c r="B47" s="694" t="s">
        <v>1848</v>
      </c>
      <c r="C47" s="800">
        <f>SUM(C42:C46)</f>
        <v>-194.38613800000002</v>
      </c>
      <c r="D47" s="800">
        <f>SUM(D42:D46)</f>
        <v>-521.97342219999996</v>
      </c>
    </row>
    <row r="48" spans="2:4" ht="15.75">
      <c r="B48" s="697"/>
      <c r="C48" s="799"/>
      <c r="D48" s="799"/>
    </row>
    <row r="49" spans="2:4" ht="15.75">
      <c r="B49" s="801" t="s">
        <v>1849</v>
      </c>
      <c r="C49" s="800">
        <f>+C47+C40+C32</f>
        <v>1.8661280508574691</v>
      </c>
      <c r="D49" s="800">
        <f>+D47+D40+D32</f>
        <v>0.55865310000046975</v>
      </c>
    </row>
    <row r="50" spans="2:4" ht="15.75">
      <c r="B50" s="1399" t="s">
        <v>1850</v>
      </c>
      <c r="C50" s="799">
        <f>+D52</f>
        <v>0.96650614083424102</v>
      </c>
      <c r="D50" s="799">
        <f>+'[44]Cash Flow'!C55/$A$1</f>
        <v>0.40785304083377122</v>
      </c>
    </row>
    <row r="51" spans="2:4" ht="15.75">
      <c r="B51" s="1400"/>
      <c r="C51" s="799"/>
      <c r="D51" s="799"/>
    </row>
    <row r="52" spans="2:4" ht="15.75">
      <c r="B52" s="694" t="s">
        <v>1851</v>
      </c>
      <c r="C52" s="802">
        <f>+C49+C50</f>
        <v>2.8326341916917102</v>
      </c>
      <c r="D52" s="802">
        <f>+D49+D50</f>
        <v>0.96650614083424102</v>
      </c>
    </row>
  </sheetData>
  <mergeCells count="3">
    <mergeCell ref="B3:D3"/>
    <mergeCell ref="B5:D5"/>
    <mergeCell ref="B50:B51"/>
  </mergeCells>
  <pageMargins left="0.7" right="0.7" top="0.75" bottom="0.75" header="0.3" footer="0.3"/>
  <pageSetup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90"/>
  <sheetViews>
    <sheetView tabSelected="1" view="pageBreakPreview" zoomScale="60" zoomScaleNormal="100" workbookViewId="0">
      <selection sqref="A1:C1"/>
    </sheetView>
  </sheetViews>
  <sheetFormatPr defaultRowHeight="15.75"/>
  <cols>
    <col min="1" max="1" width="100.140625" style="702" customWidth="1"/>
    <col min="2" max="2" width="29.5703125" style="703" customWidth="1"/>
    <col min="3" max="3" width="28" style="704" customWidth="1"/>
    <col min="4" max="4" width="11.85546875" hidden="1" customWidth="1"/>
    <col min="5" max="5" width="25.5703125" hidden="1" customWidth="1"/>
    <col min="6" max="8" width="11.85546875" hidden="1" customWidth="1"/>
    <col min="9" max="9" width="15.42578125" hidden="1" customWidth="1"/>
    <col min="10" max="10" width="14.7109375" hidden="1" customWidth="1"/>
    <col min="11" max="11" width="0" hidden="1" customWidth="1"/>
    <col min="12" max="12" width="14.85546875" style="1311" hidden="1" customWidth="1"/>
    <col min="13" max="14" width="0" style="1311" hidden="1" customWidth="1"/>
    <col min="15" max="15" width="41.28515625" style="1312" hidden="1" customWidth="1"/>
    <col min="16" max="16" width="17.140625" style="1312" hidden="1" customWidth="1"/>
    <col min="17" max="17" width="9.42578125" style="1312" hidden="1" customWidth="1"/>
    <col min="18" max="19" width="16.28515625" style="1312" hidden="1" customWidth="1"/>
    <col min="20" max="20" width="17" style="1311" hidden="1" customWidth="1"/>
    <col min="21" max="47" width="0" style="1311" hidden="1" customWidth="1"/>
  </cols>
  <sheetData>
    <row r="1" spans="1:20">
      <c r="A1" s="1405" t="s">
        <v>750</v>
      </c>
      <c r="B1" s="1406"/>
      <c r="C1" s="1407"/>
    </row>
    <row r="2" spans="1:20">
      <c r="A2" s="688"/>
      <c r="B2" s="689"/>
      <c r="C2" s="690"/>
    </row>
    <row r="3" spans="1:20">
      <c r="A3" s="1408" t="s">
        <v>1853</v>
      </c>
      <c r="B3" s="1409"/>
      <c r="C3" s="1410"/>
    </row>
    <row r="4" spans="1:20">
      <c r="A4" s="691"/>
      <c r="B4" s="692"/>
      <c r="C4" s="693"/>
    </row>
    <row r="5" spans="1:20">
      <c r="A5" s="694" t="s">
        <v>1810</v>
      </c>
      <c r="B5" s="695" t="s">
        <v>2047</v>
      </c>
      <c r="C5" s="695" t="s">
        <v>2048</v>
      </c>
    </row>
    <row r="6" spans="1:20">
      <c r="A6" s="696"/>
      <c r="B6" s="696"/>
      <c r="C6" s="696"/>
    </row>
    <row r="7" spans="1:20">
      <c r="A7" s="697" t="s">
        <v>1811</v>
      </c>
      <c r="B7" s="696"/>
      <c r="C7" s="696"/>
    </row>
    <row r="8" spans="1:20">
      <c r="A8" s="694" t="s">
        <v>1812</v>
      </c>
      <c r="B8" s="698">
        <f>+BSPL!F97</f>
        <v>21498799.410686374</v>
      </c>
      <c r="C8" s="698">
        <f>+BSPL!G97</f>
        <v>71082787.229667425</v>
      </c>
      <c r="N8" s="1313"/>
    </row>
    <row r="9" spans="1:20">
      <c r="A9" s="696" t="s">
        <v>1813</v>
      </c>
      <c r="B9" s="699"/>
      <c r="C9" s="699"/>
    </row>
    <row r="10" spans="1:20">
      <c r="A10" s="696" t="s">
        <v>1814</v>
      </c>
      <c r="B10" s="699">
        <f>+BSPL!F106</f>
        <v>-186251</v>
      </c>
      <c r="C10" s="699">
        <f>+BSPL!G106</f>
        <v>-535558</v>
      </c>
    </row>
    <row r="11" spans="1:20">
      <c r="A11" s="696" t="s">
        <v>1815</v>
      </c>
      <c r="B11" s="699">
        <f>+BSPL!F91</f>
        <v>17192939</v>
      </c>
      <c r="C11" s="699">
        <f>+BSPL!G91</f>
        <v>16467600</v>
      </c>
    </row>
    <row r="12" spans="1:20">
      <c r="A12" s="696" t="s">
        <v>815</v>
      </c>
      <c r="B12" s="699">
        <f>+BSPL!F90</f>
        <v>9356360.9400000013</v>
      </c>
      <c r="C12" s="699">
        <f>+BSPL!G90</f>
        <v>14376693.74</v>
      </c>
    </row>
    <row r="13" spans="1:20">
      <c r="A13" s="696" t="s">
        <v>1816</v>
      </c>
      <c r="B13" s="699">
        <f>-GETPIVOTDATA("Sum of CR-March 20",Pivot!$A$3,"PARTICULARS","Profit on Sale of Asset","Note",20,"BS Main Head","Other Income","BS Sub Head","Profit on Sale of Asset")</f>
        <v>-18263</v>
      </c>
      <c r="C13" s="699">
        <f>+GETPIVOTDATA("Sum of CR-DEC 19",Pivot!$A$3,"PARTICULARS","Profit on Sale of Asset","Note",20,"BS Main Head","Other Income","BS Sub Head","Profit on Sale of Asset")</f>
        <v>0</v>
      </c>
      <c r="F13" t="s">
        <v>1959</v>
      </c>
      <c r="G13" t="s">
        <v>1960</v>
      </c>
      <c r="H13" t="s">
        <v>1321</v>
      </c>
    </row>
    <row r="14" spans="1:20">
      <c r="A14" s="696" t="s">
        <v>749</v>
      </c>
      <c r="B14" s="699"/>
      <c r="C14" s="699"/>
    </row>
    <row r="15" spans="1:20">
      <c r="A15" s="694" t="s">
        <v>1817</v>
      </c>
      <c r="B15" s="698">
        <f>SUM(B8:B14)</f>
        <v>47843585.350686371</v>
      </c>
      <c r="C15" s="698">
        <f>SUM(C8:C14)</f>
        <v>101391522.96966742</v>
      </c>
    </row>
    <row r="16" spans="1:20">
      <c r="A16" s="697"/>
      <c r="B16" s="700"/>
      <c r="C16" s="700"/>
      <c r="O16" s="1314" t="s">
        <v>20</v>
      </c>
      <c r="P16" s="1312">
        <v>0</v>
      </c>
      <c r="Q16" s="1312">
        <v>0</v>
      </c>
      <c r="R16" s="1312">
        <v>12325000</v>
      </c>
      <c r="S16" s="1312">
        <v>0</v>
      </c>
      <c r="T16" s="1315">
        <f>+P16-R16</f>
        <v>-12325000</v>
      </c>
    </row>
    <row r="17" spans="1:20">
      <c r="A17" s="697" t="s">
        <v>1818</v>
      </c>
      <c r="B17" s="699"/>
      <c r="C17" s="699"/>
      <c r="O17" s="1314" t="s">
        <v>21</v>
      </c>
      <c r="P17" s="1312">
        <v>3800000</v>
      </c>
      <c r="Q17" s="1312">
        <v>0</v>
      </c>
      <c r="R17" s="1312">
        <v>0</v>
      </c>
      <c r="S17" s="1312">
        <v>0</v>
      </c>
      <c r="T17" s="1315">
        <f t="shared" ref="T17:T27" si="0">+P17-R17</f>
        <v>3800000</v>
      </c>
    </row>
    <row r="18" spans="1:20">
      <c r="A18" s="696" t="s">
        <v>1819</v>
      </c>
      <c r="B18" s="699">
        <f>+BSPL!G15-BSPL!F15</f>
        <v>-16638584.790686451</v>
      </c>
      <c r="C18" s="699">
        <f>+H18</f>
        <v>-8387051.5396673679</v>
      </c>
      <c r="E18" s="705" t="s">
        <v>764</v>
      </c>
      <c r="F18">
        <f>+BSPL!G15</f>
        <v>51184927.105289809</v>
      </c>
      <c r="G18">
        <v>42797875.565622441</v>
      </c>
      <c r="H18">
        <f>+G18-F18</f>
        <v>-8387051.5396673679</v>
      </c>
      <c r="I18">
        <v>-8387051.5396673679</v>
      </c>
      <c r="J18">
        <f>+H18-I18</f>
        <v>0</v>
      </c>
      <c r="O18" s="1314" t="s">
        <v>287</v>
      </c>
      <c r="P18" s="1312">
        <v>34285</v>
      </c>
      <c r="Q18" s="1312">
        <v>0</v>
      </c>
      <c r="R18" s="1312">
        <v>34285</v>
      </c>
      <c r="S18" s="1312">
        <v>0</v>
      </c>
      <c r="T18" s="1315">
        <f t="shared" si="0"/>
        <v>0</v>
      </c>
    </row>
    <row r="19" spans="1:20">
      <c r="A19" s="696" t="s">
        <v>1820</v>
      </c>
      <c r="B19" s="699">
        <f>+BSPL!G17-BSPL!F17</f>
        <v>-4896922.5</v>
      </c>
      <c r="C19" s="699">
        <f t="shared" ref="C19:C29" si="1">+H19</f>
        <v>10500931.36999999</v>
      </c>
      <c r="E19" s="705" t="s">
        <v>563</v>
      </c>
      <c r="F19">
        <f>+BSPL!G17</f>
        <v>89957465.5</v>
      </c>
      <c r="G19">
        <v>100458396.86999999</v>
      </c>
      <c r="H19">
        <f>+G19-F19</f>
        <v>10500931.36999999</v>
      </c>
      <c r="I19">
        <v>10500931.36999999</v>
      </c>
      <c r="J19">
        <f t="shared" ref="J19:J29" si="2">+H19-I19</f>
        <v>0</v>
      </c>
      <c r="O19" s="1314" t="s">
        <v>284</v>
      </c>
      <c r="P19" s="1312">
        <v>122153</v>
      </c>
      <c r="Q19" s="1312">
        <v>0</v>
      </c>
      <c r="R19" s="1312">
        <v>122153</v>
      </c>
      <c r="S19" s="1312">
        <v>0</v>
      </c>
      <c r="T19" s="1315">
        <f t="shared" si="0"/>
        <v>0</v>
      </c>
    </row>
    <row r="20" spans="1:20">
      <c r="A20" s="696" t="s">
        <v>1821</v>
      </c>
      <c r="B20" s="699">
        <f>+BSPL!G20-BSPL!F20</f>
        <v>-2774141.8400000017</v>
      </c>
      <c r="C20" s="699">
        <f t="shared" si="1"/>
        <v>-2302657.5999999992</v>
      </c>
      <c r="E20" t="s">
        <v>1965</v>
      </c>
      <c r="F20">
        <f>+BSPL!G20</f>
        <v>5769158.1199999992</v>
      </c>
      <c r="G20">
        <v>3466500.52</v>
      </c>
      <c r="H20">
        <f>+G20-F20</f>
        <v>-2302657.5999999992</v>
      </c>
      <c r="I20">
        <v>257785</v>
      </c>
      <c r="J20">
        <f t="shared" si="2"/>
        <v>-2560442.5999999992</v>
      </c>
      <c r="O20" s="1314" t="s">
        <v>286</v>
      </c>
      <c r="P20" s="1312">
        <v>139678</v>
      </c>
      <c r="Q20" s="1312">
        <v>0</v>
      </c>
      <c r="R20" s="1312">
        <v>139678</v>
      </c>
      <c r="S20" s="1312">
        <v>0</v>
      </c>
      <c r="T20" s="1315">
        <f t="shared" si="0"/>
        <v>0</v>
      </c>
    </row>
    <row r="21" spans="1:20">
      <c r="A21" s="696" t="s">
        <v>1822</v>
      </c>
      <c r="B21" s="699">
        <f>+(BSPL!G21-BSPL!F21)</f>
        <v>2169872.3800000018</v>
      </c>
      <c r="C21" s="699">
        <f t="shared" si="1"/>
        <v>1120681.6099999985</v>
      </c>
      <c r="E21" s="705" t="s">
        <v>655</v>
      </c>
      <c r="F21">
        <f>+BSPL!G291</f>
        <v>7276608.1800000006</v>
      </c>
      <c r="G21">
        <v>8397289.7899999991</v>
      </c>
      <c r="H21">
        <f>+G21-F21</f>
        <v>1120681.6099999985</v>
      </c>
      <c r="I21">
        <v>-6669728.5899999999</v>
      </c>
      <c r="J21">
        <f t="shared" si="2"/>
        <v>7790410.1999999983</v>
      </c>
      <c r="O21" s="1314" t="s">
        <v>285</v>
      </c>
      <c r="P21" s="1312">
        <v>271788</v>
      </c>
      <c r="Q21" s="1312">
        <v>0</v>
      </c>
      <c r="R21" s="1312">
        <v>271788</v>
      </c>
      <c r="S21" s="1312">
        <v>0</v>
      </c>
      <c r="T21" s="1315">
        <f t="shared" si="0"/>
        <v>0</v>
      </c>
    </row>
    <row r="22" spans="1:20">
      <c r="A22" s="696" t="s">
        <v>1823</v>
      </c>
      <c r="B22" s="699">
        <f>+BSPL!G19-BSPL!F19</f>
        <v>108846.5</v>
      </c>
      <c r="C22" s="699">
        <f t="shared" si="1"/>
        <v>629</v>
      </c>
      <c r="E22" s="705" t="s">
        <v>873</v>
      </c>
      <c r="F22">
        <f>+BSPL!G19</f>
        <v>192300</v>
      </c>
      <c r="G22">
        <v>192929</v>
      </c>
      <c r="H22">
        <f>+G22-F22</f>
        <v>629</v>
      </c>
      <c r="I22">
        <v>628.5</v>
      </c>
      <c r="J22">
        <f t="shared" si="2"/>
        <v>0.5</v>
      </c>
      <c r="O22" s="1314" t="s">
        <v>283</v>
      </c>
      <c r="P22" s="1312">
        <v>0</v>
      </c>
      <c r="Q22" s="1312">
        <v>0</v>
      </c>
      <c r="R22" s="1312">
        <v>0</v>
      </c>
      <c r="S22" s="1312">
        <v>0</v>
      </c>
      <c r="T22" s="1315">
        <f t="shared" si="0"/>
        <v>0</v>
      </c>
    </row>
    <row r="23" spans="1:20">
      <c r="A23" s="696" t="s">
        <v>1825</v>
      </c>
      <c r="B23" s="699">
        <f>+BSPL!F41-BSPL!G41</f>
        <v>9388591.4299999923</v>
      </c>
      <c r="C23" s="699">
        <f>-15478721.63-4</f>
        <v>-15478725.630000001</v>
      </c>
      <c r="E23" t="s">
        <v>1963</v>
      </c>
      <c r="F23">
        <f>+BSPL!G41</f>
        <v>49656875.130000003</v>
      </c>
      <c r="G23">
        <v>64903509.759999998</v>
      </c>
      <c r="H23">
        <f t="shared" ref="H23:H27" si="3">+F23-G23</f>
        <v>-15246634.629999995</v>
      </c>
      <c r="I23">
        <v>-15466601.429999992</v>
      </c>
      <c r="J23">
        <f t="shared" si="2"/>
        <v>219966.79999999702</v>
      </c>
      <c r="O23" s="1314" t="s">
        <v>373</v>
      </c>
      <c r="P23" s="1312">
        <v>0</v>
      </c>
      <c r="Q23" s="1312">
        <v>0</v>
      </c>
      <c r="R23" s="1312">
        <v>19841</v>
      </c>
      <c r="S23" s="1312">
        <v>0</v>
      </c>
      <c r="T23" s="1315">
        <f t="shared" si="0"/>
        <v>-19841</v>
      </c>
    </row>
    <row r="24" spans="1:20">
      <c r="A24" s="696" t="s">
        <v>1958</v>
      </c>
      <c r="B24" s="699">
        <f>+BSPL!F358-BSPL!G358</f>
        <v>521247.70000000019</v>
      </c>
      <c r="C24" s="699">
        <f t="shared" si="1"/>
        <v>-150620</v>
      </c>
      <c r="E24" t="s">
        <v>1961</v>
      </c>
      <c r="F24">
        <f>+BSPL!G357</f>
        <v>1662107</v>
      </c>
      <c r="G24">
        <v>1812727</v>
      </c>
      <c r="H24">
        <f t="shared" si="3"/>
        <v>-150620</v>
      </c>
      <c r="J24">
        <f t="shared" si="2"/>
        <v>-150620</v>
      </c>
      <c r="O24" s="1314" t="s">
        <v>374</v>
      </c>
      <c r="P24" s="1312">
        <v>15292</v>
      </c>
      <c r="Q24" s="1312">
        <v>0</v>
      </c>
      <c r="R24" s="1312">
        <v>0</v>
      </c>
      <c r="S24" s="1312">
        <v>0</v>
      </c>
      <c r="T24" s="1315">
        <f t="shared" si="0"/>
        <v>15292</v>
      </c>
    </row>
    <row r="25" spans="1:20">
      <c r="A25" s="696" t="s">
        <v>1826</v>
      </c>
      <c r="B25" s="699">
        <f>+BSPL!F404+BSPL!F406-BSPL!G404-BSPL!G406+BSPL!F405-BSPL!G405-2</f>
        <v>-95174</v>
      </c>
      <c r="C25" s="699">
        <f t="shared" si="1"/>
        <v>-40090</v>
      </c>
      <c r="E25" s="705" t="s">
        <v>1966</v>
      </c>
      <c r="F25" s="705">
        <f>+BSPL!G404+BSPL!G406</f>
        <v>983176</v>
      </c>
      <c r="G25">
        <f>192300+830966</f>
        <v>1023266</v>
      </c>
      <c r="H25">
        <f t="shared" si="3"/>
        <v>-40090</v>
      </c>
      <c r="I25">
        <v>-40090</v>
      </c>
      <c r="J25">
        <f t="shared" si="2"/>
        <v>0</v>
      </c>
      <c r="O25" s="1314" t="s">
        <v>526</v>
      </c>
      <c r="P25" s="1312">
        <v>0</v>
      </c>
      <c r="Q25" s="1312">
        <v>0</v>
      </c>
      <c r="R25" s="1312">
        <v>4717</v>
      </c>
      <c r="S25" s="1312">
        <v>0</v>
      </c>
      <c r="T25" s="1315">
        <f t="shared" si="0"/>
        <v>-4717</v>
      </c>
    </row>
    <row r="26" spans="1:20">
      <c r="A26" s="696" t="s">
        <v>1827</v>
      </c>
      <c r="B26" s="699">
        <f>+BSPL!F43-BSPL!G43</f>
        <v>-1363</v>
      </c>
      <c r="C26" s="699">
        <f t="shared" si="1"/>
        <v>-112884.60000000056</v>
      </c>
      <c r="E26" s="705" t="s">
        <v>585</v>
      </c>
      <c r="F26">
        <f>+BSPL!G43</f>
        <v>539205.43999999994</v>
      </c>
      <c r="G26">
        <v>652090.0400000005</v>
      </c>
      <c r="H26">
        <f t="shared" si="3"/>
        <v>-112884.60000000056</v>
      </c>
      <c r="I26">
        <v>4972825.7999999989</v>
      </c>
      <c r="J26">
        <f t="shared" si="2"/>
        <v>-5085710.3999999994</v>
      </c>
      <c r="O26" s="1314" t="s">
        <v>1309</v>
      </c>
      <c r="P26" s="1312">
        <v>17190</v>
      </c>
      <c r="Q26" s="1312">
        <v>0</v>
      </c>
      <c r="R26" s="1312">
        <v>0</v>
      </c>
      <c r="S26" s="1312">
        <v>0</v>
      </c>
      <c r="T26" s="1315">
        <f t="shared" si="0"/>
        <v>17190</v>
      </c>
    </row>
    <row r="27" spans="1:20">
      <c r="A27" s="696" t="s">
        <v>1828</v>
      </c>
      <c r="B27" s="699">
        <f>+BSPL!F413+BSPL!F414-BSPL!G413-BSPL!G414</f>
        <v>71120</v>
      </c>
      <c r="C27" s="699">
        <f t="shared" si="1"/>
        <v>935245</v>
      </c>
      <c r="E27" t="s">
        <v>1962</v>
      </c>
      <c r="F27">
        <f>+BSPL!G413+BSPL!G414</f>
        <v>3054029</v>
      </c>
      <c r="G27">
        <v>2118784</v>
      </c>
      <c r="H27">
        <f t="shared" si="3"/>
        <v>935245</v>
      </c>
      <c r="I27">
        <v>796877.99999999907</v>
      </c>
      <c r="J27">
        <f t="shared" si="2"/>
        <v>138367.00000000093</v>
      </c>
      <c r="O27" s="1314" t="s">
        <v>1526</v>
      </c>
      <c r="P27" s="1312">
        <v>44002</v>
      </c>
      <c r="Q27" s="1312">
        <v>0</v>
      </c>
      <c r="R27" s="1312">
        <v>0</v>
      </c>
      <c r="S27" s="1312">
        <v>0</v>
      </c>
      <c r="T27" s="1315">
        <f t="shared" si="0"/>
        <v>44002</v>
      </c>
    </row>
    <row r="28" spans="1:20">
      <c r="A28" s="696" t="s">
        <v>1829</v>
      </c>
      <c r="B28" s="699">
        <f>+BSPL!G11-BSPL!F11</f>
        <v>657320</v>
      </c>
      <c r="C28" s="699">
        <f t="shared" si="1"/>
        <v>8384.9500000001863</v>
      </c>
      <c r="E28" s="705" t="s">
        <v>1967</v>
      </c>
      <c r="F28">
        <f>+BSPL!G11</f>
        <v>2870555</v>
      </c>
      <c r="G28">
        <v>2878939.95</v>
      </c>
      <c r="H28">
        <f>+G28-F28</f>
        <v>8384.9500000001863</v>
      </c>
      <c r="I28">
        <v>8384.9500000001863</v>
      </c>
      <c r="J28">
        <f t="shared" si="2"/>
        <v>0</v>
      </c>
    </row>
    <row r="29" spans="1:20">
      <c r="A29" s="696" t="s">
        <v>1830</v>
      </c>
      <c r="B29" s="699">
        <f>+(BSPL!G243+BSPL!G242-BSPL!F243-BSPL!F242)</f>
        <v>-2224220.6400000006</v>
      </c>
      <c r="C29" s="699">
        <f t="shared" si="1"/>
        <v>-172496.99999999953</v>
      </c>
      <c r="E29" s="705" t="s">
        <v>1968</v>
      </c>
      <c r="F29">
        <f>+BSPL!G242+BSPL!G243</f>
        <v>4153020.3599999994</v>
      </c>
      <c r="G29">
        <v>3980523.36</v>
      </c>
      <c r="H29">
        <f>+G29-F29</f>
        <v>-172496.99999999953</v>
      </c>
      <c r="I29">
        <v>-52616.999999999534</v>
      </c>
      <c r="J29">
        <f t="shared" si="2"/>
        <v>-119880</v>
      </c>
      <c r="O29" s="1312" t="s">
        <v>1988</v>
      </c>
      <c r="P29" s="1312">
        <f>+BSPL!F99</f>
        <v>4514807.180287933</v>
      </c>
      <c r="R29" s="1312">
        <f>+BSPL!G99</f>
        <v>16160409.421267949</v>
      </c>
    </row>
    <row r="30" spans="1:20">
      <c r="A30" s="696"/>
      <c r="B30" s="699"/>
      <c r="C30" s="699"/>
    </row>
    <row r="31" spans="1:20">
      <c r="A31" s="694" t="s">
        <v>1831</v>
      </c>
      <c r="B31" s="698">
        <f>SUM(B17:B30)</f>
        <v>-13713408.760686461</v>
      </c>
      <c r="C31" s="698">
        <f>SUM(C17:C30)</f>
        <v>-14078654.439667381</v>
      </c>
      <c r="P31" s="1312">
        <f>-P29+(SUM(P16:P27)-SUM(R16:R27))</f>
        <v>-12987881.180287933</v>
      </c>
    </row>
    <row r="32" spans="1:20">
      <c r="A32" s="694" t="s">
        <v>1832</v>
      </c>
      <c r="B32" s="698">
        <f>+B31+B15</f>
        <v>34130176.589999914</v>
      </c>
      <c r="C32" s="698">
        <f>+C31+C15</f>
        <v>87312868.530000031</v>
      </c>
    </row>
    <row r="33" spans="1:19">
      <c r="A33" s="697" t="s">
        <v>1833</v>
      </c>
      <c r="B33" s="699">
        <f>(-BSPL!F99-BSPL!F100+(BSPL!G22-BSPL!F22)+(BSPL!F412-BSPL!G412))+(BSPL!F371-BSPL!G371)</f>
        <v>-6175062.3349141693</v>
      </c>
      <c r="C33" s="699">
        <v>-13674793</v>
      </c>
      <c r="L33" s="1311">
        <f>-6175062+6150116</f>
        <v>-24946</v>
      </c>
      <c r="O33" s="1312" t="s">
        <v>1991</v>
      </c>
      <c r="P33" s="1312">
        <f>+P17+P27+P24</f>
        <v>3859294</v>
      </c>
      <c r="R33" s="1312">
        <f>+R16+R23</f>
        <v>12344841</v>
      </c>
      <c r="S33" s="1312">
        <f>+R33-P33</f>
        <v>8485547</v>
      </c>
    </row>
    <row r="34" spans="1:19">
      <c r="A34" s="694" t="s">
        <v>1834</v>
      </c>
      <c r="B34" s="698">
        <f>+B32+B33</f>
        <v>27955114.255085744</v>
      </c>
      <c r="C34" s="698">
        <f>+C32+C33</f>
        <v>73638075.530000031</v>
      </c>
      <c r="L34" s="1311">
        <f>+L33/2</f>
        <v>-12473</v>
      </c>
      <c r="O34" s="1312" t="s">
        <v>1990</v>
      </c>
      <c r="P34" s="1312">
        <f>+P18+P19+P20+P21+P26</f>
        <v>585094</v>
      </c>
      <c r="R34" s="1312">
        <f>+R18+R19+R20+R21+R25</f>
        <v>572621</v>
      </c>
      <c r="S34" s="1312">
        <f>+R34-P34</f>
        <v>-12473</v>
      </c>
    </row>
    <row r="35" spans="1:19">
      <c r="A35" s="696"/>
      <c r="B35" s="699"/>
      <c r="C35" s="699"/>
      <c r="O35" s="1312" t="s">
        <v>1989</v>
      </c>
      <c r="P35" s="1312">
        <f>+P29</f>
        <v>4514807.180287933</v>
      </c>
      <c r="R35" s="1312">
        <f>+R29</f>
        <v>16160409.421267949</v>
      </c>
      <c r="S35" s="1312">
        <f>+P35-R35</f>
        <v>-11645602.240980016</v>
      </c>
    </row>
    <row r="36" spans="1:19">
      <c r="A36" s="697" t="s">
        <v>1835</v>
      </c>
      <c r="B36" s="699"/>
      <c r="C36" s="699"/>
      <c r="O36" s="1312" t="s">
        <v>1992</v>
      </c>
      <c r="P36" s="1312">
        <f>+Computation!I83</f>
        <v>655513</v>
      </c>
      <c r="R36" s="1312">
        <v>2326918</v>
      </c>
      <c r="S36" s="1312">
        <f>+R36-P36</f>
        <v>1671405</v>
      </c>
    </row>
    <row r="37" spans="1:19">
      <c r="A37" s="696" t="s">
        <v>1836</v>
      </c>
      <c r="B37" s="699">
        <f>-'Depreciation Co. Act'!F70+(BSPL!G241-BSPL!F241)+(BSPL!F403-BSPL!G403)+(BSPL!G9-BSPL!F9)</f>
        <v>-8629887.6499999985</v>
      </c>
      <c r="C37" s="699">
        <v>-21384868</v>
      </c>
      <c r="G37">
        <v>-20356671.280000001</v>
      </c>
      <c r="H37">
        <f>+G37+(G38-F38)+(G39-F39)+(F40-G40)</f>
        <v>-21384868.280000001</v>
      </c>
      <c r="O37" s="1312" t="s">
        <v>1400</v>
      </c>
      <c r="P37" s="1312">
        <f>-BSPL!F371</f>
        <v>1808134</v>
      </c>
      <c r="R37" s="1312">
        <f>-BSPL!G371</f>
        <v>7089950.0863537798</v>
      </c>
      <c r="S37" s="1312">
        <f>+R37-P37</f>
        <v>5281816.0863537798</v>
      </c>
    </row>
    <row r="38" spans="1:19">
      <c r="A38" s="696" t="s">
        <v>1837</v>
      </c>
      <c r="B38" s="699">
        <f>+'Depreciation Co. Act'!G70-'Depreciation Co. Act'!L70++GETPIVOTDATA("Sum of CR-March 20",Pivot!$A$3,"PARTICULARS","Profit on Sale of Asset","Note",20,"BS Main Head","Other Income","BS Sub Head","Profit on Sale of Asset")</f>
        <v>300000</v>
      </c>
      <c r="C38" s="699">
        <v>0</v>
      </c>
      <c r="F38">
        <f>+BSPL!G9</f>
        <v>484789</v>
      </c>
      <c r="G38">
        <v>382310</v>
      </c>
      <c r="P38" s="1312">
        <f>+(BSPL!F412-BSPL!G412)</f>
        <v>-1488650.2409800161</v>
      </c>
    </row>
    <row r="39" spans="1:19" hidden="1">
      <c r="A39" s="696" t="s">
        <v>1838</v>
      </c>
      <c r="B39" s="699">
        <v>0</v>
      </c>
      <c r="C39" s="699"/>
      <c r="F39">
        <f>+BSPL!G241</f>
        <v>1521769</v>
      </c>
      <c r="G39">
        <v>0</v>
      </c>
      <c r="P39" s="1312">
        <f>+(BSPL!F371-BSPL!G371)</f>
        <v>5281816.0863537798</v>
      </c>
    </row>
    <row r="40" spans="1:19" hidden="1">
      <c r="A40" s="696" t="s">
        <v>1839</v>
      </c>
      <c r="B40" s="699">
        <v>0</v>
      </c>
      <c r="C40" s="699">
        <v>0</v>
      </c>
      <c r="F40">
        <f>+BSPL!G403</f>
        <v>775995</v>
      </c>
      <c r="G40">
        <v>179944</v>
      </c>
      <c r="P40" s="1312">
        <f>+(BSPL!G22-BSPL!F22)</f>
        <v>-12473</v>
      </c>
    </row>
    <row r="41" spans="1:19" hidden="1">
      <c r="A41" s="696" t="s">
        <v>1840</v>
      </c>
      <c r="B41" s="699">
        <v>0</v>
      </c>
      <c r="C41" s="699">
        <v>0</v>
      </c>
    </row>
    <row r="42" spans="1:19" hidden="1">
      <c r="A42" s="696" t="s">
        <v>1841</v>
      </c>
      <c r="B42" s="699">
        <v>0</v>
      </c>
      <c r="C42" s="699">
        <v>0</v>
      </c>
    </row>
    <row r="43" spans="1:19">
      <c r="A43" s="696"/>
      <c r="B43" s="699"/>
      <c r="C43" s="699"/>
    </row>
    <row r="44" spans="1:19">
      <c r="A44" s="694" t="s">
        <v>1842</v>
      </c>
      <c r="B44" s="698">
        <f>SUM(B37:B43)</f>
        <v>-8329887.6499999985</v>
      </c>
      <c r="C44" s="698">
        <f>SUM(C37:C43)</f>
        <v>-21384868</v>
      </c>
    </row>
    <row r="45" spans="1:19">
      <c r="A45" s="696" t="s">
        <v>749</v>
      </c>
      <c r="B45" s="699"/>
      <c r="C45" s="699"/>
    </row>
    <row r="46" spans="1:19">
      <c r="A46" s="697" t="s">
        <v>1843</v>
      </c>
      <c r="B46" s="699"/>
      <c r="C46" s="699"/>
    </row>
    <row r="47" spans="1:19" hidden="1">
      <c r="A47" s="696" t="s">
        <v>1844</v>
      </c>
      <c r="B47" s="699">
        <v>0</v>
      </c>
      <c r="C47" s="699"/>
    </row>
    <row r="48" spans="1:19">
      <c r="A48" s="696" t="s">
        <v>1824</v>
      </c>
      <c r="B48" s="699">
        <f>+BSPL!F40-BSPL!G40</f>
        <v>6167846.200000003</v>
      </c>
      <c r="C48" s="699">
        <f>+H48</f>
        <v>-1270522.4799999967</v>
      </c>
      <c r="E48" s="705" t="s">
        <v>1964</v>
      </c>
      <c r="F48">
        <f>+BSPL!G40</f>
        <v>55675684.390000001</v>
      </c>
      <c r="G48">
        <v>56946206.869999997</v>
      </c>
      <c r="H48">
        <f>+F48-G48</f>
        <v>-1270522.4799999967</v>
      </c>
      <c r="I48">
        <v>-1270522.4799999967</v>
      </c>
      <c r="J48">
        <f>+H48-I48</f>
        <v>0</v>
      </c>
    </row>
    <row r="49" spans="1:12">
      <c r="A49" s="696" t="s">
        <v>1845</v>
      </c>
      <c r="B49" s="699">
        <f>+(BSPL!F351-BSPL!G351)+(BSPL!F400-BSPL!G400)+(BSPL!F401-BSPL!G401)</f>
        <v>-16562108</v>
      </c>
      <c r="C49" s="699">
        <v>-36363803</v>
      </c>
      <c r="F49">
        <f>+BSPL!G351+BSPL!G400+BSPL!G401</f>
        <v>49684017</v>
      </c>
      <c r="G49">
        <f>69355820+16692000</f>
        <v>86047820</v>
      </c>
      <c r="H49">
        <f>+F49-G49</f>
        <v>-36363803</v>
      </c>
    </row>
    <row r="50" spans="1:12">
      <c r="A50" s="696" t="s">
        <v>1846</v>
      </c>
      <c r="B50" s="699">
        <f>-B12+(BSPL!F402-BSPL!G402)</f>
        <v>-9044352.0000000019</v>
      </c>
      <c r="C50" s="699">
        <f>-C12-186323</f>
        <v>-14563016.74</v>
      </c>
    </row>
    <row r="51" spans="1:12">
      <c r="A51" s="696" t="s">
        <v>1847</v>
      </c>
      <c r="B51" s="699">
        <v>0</v>
      </c>
      <c r="C51" s="699">
        <v>0</v>
      </c>
    </row>
    <row r="52" spans="1:12">
      <c r="A52" s="694" t="s">
        <v>1848</v>
      </c>
      <c r="B52" s="698">
        <f>SUM(B47:B51)</f>
        <v>-19438613.799999997</v>
      </c>
      <c r="C52" s="698">
        <f>SUM(C47:C51)</f>
        <v>-52197342.219999999</v>
      </c>
    </row>
    <row r="53" spans="1:12">
      <c r="A53" s="697"/>
      <c r="B53" s="699"/>
      <c r="C53" s="699"/>
    </row>
    <row r="54" spans="1:12">
      <c r="A54" s="694" t="s">
        <v>1849</v>
      </c>
      <c r="B54" s="698">
        <f>+B52+B44+B34</f>
        <v>186612.80508574843</v>
      </c>
      <c r="C54" s="698">
        <f>+C52+C44+C34</f>
        <v>55865.310000032187</v>
      </c>
    </row>
    <row r="55" spans="1:12">
      <c r="A55" s="697"/>
      <c r="B55" s="699"/>
      <c r="C55" s="699"/>
    </row>
    <row r="56" spans="1:12">
      <c r="A56" s="1399" t="s">
        <v>1850</v>
      </c>
      <c r="B56" s="699">
        <f>+C58</f>
        <v>96650.310000032187</v>
      </c>
      <c r="C56" s="699">
        <v>40785</v>
      </c>
    </row>
    <row r="57" spans="1:12">
      <c r="A57" s="1400"/>
      <c r="B57" s="699"/>
      <c r="C57" s="699"/>
    </row>
    <row r="58" spans="1:12">
      <c r="A58" s="694" t="s">
        <v>2068</v>
      </c>
      <c r="B58" s="701">
        <f>+B54+B56</f>
        <v>283263.11508578062</v>
      </c>
      <c r="C58" s="701">
        <f>+C54+C56</f>
        <v>96650.310000032187</v>
      </c>
      <c r="D58">
        <v>-96650</v>
      </c>
      <c r="E58" s="705">
        <f>+C58+D58</f>
        <v>0.31000003218650818</v>
      </c>
      <c r="L58" s="1311">
        <v>283262.68508566916</v>
      </c>
    </row>
    <row r="59" spans="1:12">
      <c r="D59" s="705"/>
      <c r="L59" s="1316">
        <f>+B58-L58</f>
        <v>0.43000011146068573</v>
      </c>
    </row>
    <row r="60" spans="1:12" ht="0.75" customHeight="1"/>
    <row r="61" spans="1:12" ht="34.5" customHeight="1">
      <c r="A61" s="1411" t="s">
        <v>1852</v>
      </c>
      <c r="B61" s="1412"/>
      <c r="C61" s="1413"/>
    </row>
    <row r="62" spans="1:12">
      <c r="A62" s="1168"/>
      <c r="B62" s="1169"/>
      <c r="C62" s="1170"/>
    </row>
    <row r="63" spans="1:12" ht="18.75">
      <c r="A63" s="846" t="s">
        <v>791</v>
      </c>
      <c r="B63" s="820" t="s">
        <v>792</v>
      </c>
      <c r="C63" s="923"/>
    </row>
    <row r="64" spans="1:12" ht="18.75">
      <c r="A64" s="848" t="s">
        <v>793</v>
      </c>
      <c r="B64" s="820"/>
      <c r="C64" s="923"/>
    </row>
    <row r="65" spans="1:3" ht="18.75">
      <c r="A65" s="848" t="s">
        <v>794</v>
      </c>
      <c r="B65" s="820"/>
      <c r="C65" s="923"/>
    </row>
    <row r="66" spans="1:3" ht="18.75">
      <c r="A66" s="848" t="s">
        <v>795</v>
      </c>
      <c r="B66" s="820"/>
      <c r="C66" s="923"/>
    </row>
    <row r="67" spans="1:3" ht="18.75">
      <c r="A67" s="848"/>
      <c r="B67" s="850" t="s">
        <v>796</v>
      </c>
      <c r="C67" s="1254"/>
    </row>
    <row r="68" spans="1:3" ht="18.75">
      <c r="A68" s="848"/>
      <c r="B68" s="818" t="s">
        <v>797</v>
      </c>
      <c r="C68" s="836"/>
    </row>
    <row r="69" spans="1:3" ht="18.75">
      <c r="A69" s="848"/>
      <c r="B69" s="818"/>
      <c r="C69" s="836"/>
    </row>
    <row r="70" spans="1:3" ht="18.75">
      <c r="A70" s="848"/>
      <c r="B70" s="818"/>
      <c r="C70" s="836"/>
    </row>
    <row r="71" spans="1:3" ht="18.75">
      <c r="A71" s="848"/>
      <c r="B71" s="818"/>
      <c r="C71" s="836"/>
    </row>
    <row r="72" spans="1:3" ht="18.75">
      <c r="A72" s="848" t="s">
        <v>798</v>
      </c>
      <c r="B72" s="1403" t="s">
        <v>799</v>
      </c>
      <c r="C72" s="1404"/>
    </row>
    <row r="73" spans="1:3" ht="18.75">
      <c r="A73" s="848" t="s">
        <v>800</v>
      </c>
      <c r="B73" s="818" t="s">
        <v>801</v>
      </c>
      <c r="C73" s="836"/>
    </row>
    <row r="74" spans="1:3" ht="18.75">
      <c r="A74" s="848" t="s">
        <v>802</v>
      </c>
      <c r="B74" s="820"/>
      <c r="C74" s="923"/>
    </row>
    <row r="75" spans="1:3" ht="18.75">
      <c r="A75" s="848" t="s">
        <v>803</v>
      </c>
      <c r="B75" s="820"/>
      <c r="C75" s="923"/>
    </row>
    <row r="76" spans="1:3" ht="37.5" customHeight="1">
      <c r="A76" s="848" t="s">
        <v>2000</v>
      </c>
      <c r="B76" s="1401" t="s">
        <v>1998</v>
      </c>
      <c r="C76" s="1402"/>
    </row>
    <row r="77" spans="1:3" ht="20.25" customHeight="1">
      <c r="A77" s="848" t="s">
        <v>2007</v>
      </c>
      <c r="B77" s="818" t="s">
        <v>804</v>
      </c>
      <c r="C77" s="836"/>
    </row>
    <row r="78" spans="1:3" ht="18.75">
      <c r="A78" s="848"/>
      <c r="B78" s="818"/>
      <c r="C78" s="836"/>
    </row>
    <row r="79" spans="1:3" ht="18.75">
      <c r="A79" s="848"/>
      <c r="B79" s="818"/>
      <c r="C79" s="836"/>
    </row>
    <row r="80" spans="1:3" ht="18.75">
      <c r="A80" s="848"/>
      <c r="B80" s="818"/>
      <c r="C80" s="836"/>
    </row>
    <row r="81" spans="1:3" ht="18.75">
      <c r="A81" s="848"/>
      <c r="B81" s="850" t="s">
        <v>1999</v>
      </c>
      <c r="C81" s="1254"/>
    </row>
    <row r="82" spans="1:3" ht="18.75">
      <c r="A82" s="848"/>
      <c r="B82" s="818" t="s">
        <v>805</v>
      </c>
      <c r="C82" s="836"/>
    </row>
    <row r="83" spans="1:3" ht="18.75">
      <c r="A83" s="848"/>
      <c r="B83" s="818"/>
      <c r="C83" s="836"/>
    </row>
    <row r="84" spans="1:3" ht="18.75">
      <c r="A84" s="848"/>
      <c r="B84" s="818"/>
      <c r="C84" s="836"/>
    </row>
    <row r="85" spans="1:3" ht="18.75">
      <c r="A85" s="848"/>
      <c r="B85" s="818"/>
      <c r="C85" s="836"/>
    </row>
    <row r="86" spans="1:3" ht="18.75">
      <c r="A86" s="848"/>
      <c r="B86" s="849" t="s">
        <v>806</v>
      </c>
      <c r="C86" s="953"/>
    </row>
    <row r="87" spans="1:3" ht="18.75">
      <c r="A87" s="848"/>
      <c r="B87" s="818"/>
      <c r="C87" s="836"/>
    </row>
    <row r="88" spans="1:3" ht="18.75">
      <c r="A88" s="852"/>
      <c r="B88" s="820"/>
      <c r="C88" s="923"/>
    </row>
    <row r="89" spans="1:3" ht="18.75">
      <c r="A89" s="853"/>
      <c r="B89" s="854" t="s">
        <v>803</v>
      </c>
      <c r="C89" s="1255"/>
    </row>
    <row r="90" spans="1:3" ht="18.75">
      <c r="A90" s="855"/>
      <c r="B90" s="856" t="s">
        <v>2000</v>
      </c>
      <c r="C90" s="986"/>
    </row>
  </sheetData>
  <mergeCells count="6">
    <mergeCell ref="B76:C76"/>
    <mergeCell ref="B72:C72"/>
    <mergeCell ref="A1:C1"/>
    <mergeCell ref="A3:C3"/>
    <mergeCell ref="A56:A57"/>
    <mergeCell ref="A61:C61"/>
  </mergeCells>
  <printOptions horizontalCentered="1" verticalCentered="1"/>
  <pageMargins left="0.31496062992125984" right="0.31496062992125984" top="0.35433070866141736" bottom="0.35433070866141736" header="0.31496062992125984" footer="0.31496062992125984"/>
  <pageSetup scale="53" orientation="portrait" r:id="rId1"/>
  <rowBreaks count="1" manualBreakCount="1">
    <brk id="90"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74"/>
  <sheetViews>
    <sheetView view="pageBreakPreview" zoomScale="53" zoomScaleNormal="100" zoomScaleSheetLayoutView="59" workbookViewId="0">
      <pane ySplit="1" topLeftCell="A2" activePane="bottomLeft" state="frozen"/>
      <selection pane="bottomLeft"/>
    </sheetView>
  </sheetViews>
  <sheetFormatPr defaultColWidth="9.140625" defaultRowHeight="18.75"/>
  <cols>
    <col min="1" max="1" width="2.42578125" style="818" customWidth="1"/>
    <col min="2" max="2" width="42.85546875" style="1108" customWidth="1"/>
    <col min="3" max="3" width="16.7109375" style="1108" customWidth="1"/>
    <col min="4" max="4" width="22.5703125" style="1108" customWidth="1"/>
    <col min="5" max="5" width="24.42578125" style="949" customWidth="1"/>
    <col min="6" max="6" width="33.28515625" style="949" customWidth="1"/>
    <col min="7" max="7" width="31.7109375" style="1109" bestFit="1" customWidth="1"/>
    <col min="8" max="8" width="23.28515625" style="1262" hidden="1" customWidth="1"/>
    <col min="9" max="9" width="27.42578125" style="1267" hidden="1" customWidth="1"/>
    <col min="10" max="10" width="29.28515625" style="1263" hidden="1" customWidth="1"/>
    <col min="11" max="12" width="20.42578125" style="1263" hidden="1" customWidth="1"/>
    <col min="13" max="13" width="23.28515625" style="1263" hidden="1" customWidth="1"/>
    <col min="14" max="14" width="21.28515625" style="1263" customWidth="1"/>
    <col min="15" max="16" width="20.140625" style="1263" customWidth="1"/>
    <col min="17" max="17" width="23.7109375" style="1263" customWidth="1"/>
    <col min="18" max="18" width="21.28515625" style="1263" customWidth="1"/>
    <col min="19" max="19" width="20.140625" style="1263" customWidth="1"/>
    <col min="20" max="20" width="20.140625" style="818" customWidth="1"/>
    <col min="21" max="21" width="23.7109375" style="818" customWidth="1"/>
    <col min="22" max="23" width="18.28515625" style="818" customWidth="1"/>
    <col min="24" max="66" width="9.140625" style="818" customWidth="1"/>
    <col min="67" max="16384" width="9.140625" style="818"/>
  </cols>
  <sheetData>
    <row r="1" spans="1:10">
      <c r="A1" s="818" t="s">
        <v>749</v>
      </c>
      <c r="B1" s="819"/>
      <c r="C1" s="819"/>
      <c r="D1" s="819"/>
      <c r="E1" s="820"/>
      <c r="F1" s="821">
        <f>+F46-F26</f>
        <v>0.49460530281066895</v>
      </c>
      <c r="G1" s="821">
        <f>+G46-G26</f>
        <v>0.39938884973526001</v>
      </c>
      <c r="I1" s="1263"/>
    </row>
    <row r="2" spans="1:10">
      <c r="B2" s="1460" t="s">
        <v>750</v>
      </c>
      <c r="C2" s="1461"/>
      <c r="D2" s="1461"/>
      <c r="E2" s="1461"/>
      <c r="F2" s="1461"/>
      <c r="G2" s="1462"/>
      <c r="H2" s="1264"/>
      <c r="I2" s="1265"/>
    </row>
    <row r="3" spans="1:10">
      <c r="B3" s="1463" t="s">
        <v>1301</v>
      </c>
      <c r="C3" s="1464"/>
      <c r="D3" s="1464"/>
      <c r="E3" s="1464"/>
      <c r="F3" s="1464"/>
      <c r="G3" s="1465"/>
      <c r="H3" s="1264"/>
      <c r="I3" s="1265"/>
    </row>
    <row r="4" spans="1:10">
      <c r="B4" s="1114" t="s">
        <v>9</v>
      </c>
      <c r="C4" s="858"/>
      <c r="D4" s="858"/>
      <c r="E4" s="1468" t="s">
        <v>2006</v>
      </c>
      <c r="F4" s="1180" t="s">
        <v>2003</v>
      </c>
      <c r="G4" s="1180" t="s">
        <v>2002</v>
      </c>
      <c r="H4" s="1266"/>
      <c r="I4" s="1263"/>
    </row>
    <row r="5" spans="1:10">
      <c r="B5" s="823"/>
      <c r="C5" s="824"/>
      <c r="D5" s="824"/>
      <c r="E5" s="1469"/>
      <c r="F5" s="825" t="s">
        <v>2004</v>
      </c>
      <c r="G5" s="825" t="s">
        <v>2005</v>
      </c>
      <c r="H5" s="1266"/>
    </row>
    <row r="6" spans="1:10">
      <c r="B6" s="826" t="s">
        <v>753</v>
      </c>
      <c r="C6" s="818"/>
      <c r="D6" s="818"/>
      <c r="E6" s="827"/>
      <c r="F6" s="827"/>
      <c r="G6" s="828"/>
      <c r="H6" s="1266"/>
      <c r="I6" s="1263"/>
    </row>
    <row r="7" spans="1:10">
      <c r="B7" s="826" t="s">
        <v>754</v>
      </c>
      <c r="C7" s="818"/>
      <c r="D7" s="818"/>
      <c r="E7" s="827"/>
      <c r="F7" s="827"/>
      <c r="G7" s="828"/>
      <c r="H7" s="1266"/>
      <c r="I7" s="1263"/>
    </row>
    <row r="8" spans="1:10">
      <c r="B8" s="829" t="s">
        <v>755</v>
      </c>
      <c r="C8" s="818"/>
      <c r="D8" s="818"/>
      <c r="E8" s="830" t="s">
        <v>756</v>
      </c>
      <c r="F8" s="1028">
        <f>+'Depreciation Co. Act'!N71</f>
        <v>226395167.21986935</v>
      </c>
      <c r="G8" s="831">
        <f>+GETPIVOTDATA("Sum of DR-DEC 19",Pivot!$A$3,"Note",10,"BS Main Head","Fixed Assets","BS Sub Head","Tangible Asset")-GETPIVOTDATA("Sum of CR-DEC 19",Pivot!$A$3,"Note",10,"BS Main Head","Fixed Assets","BS Sub Head","Tangible Asset - PFD")</f>
        <v>234411870.56</v>
      </c>
      <c r="H8" s="1264"/>
      <c r="I8" s="1263"/>
      <c r="J8" s="1263">
        <f>+F8/100000</f>
        <v>2263.9516721986934</v>
      </c>
    </row>
    <row r="9" spans="1:10">
      <c r="B9" s="829" t="s">
        <v>757</v>
      </c>
      <c r="C9" s="818"/>
      <c r="D9" s="818"/>
      <c r="E9" s="830" t="s">
        <v>758</v>
      </c>
      <c r="F9" s="1028">
        <f>+GETPIVOTDATA("Sum of DR-March 20",Pivot!$A$3,"Note",10,"BS Main Head","Fixed Assets","BS Sub Head","Capital WIP")</f>
        <v>402479.2</v>
      </c>
      <c r="G9" s="831">
        <f>+GETPIVOTDATA("Sum of DR-DEC 19",Pivot!$A$3,"Note",10,"BS Main Head","Fixed Assets","BS Sub Head","Capital WIP")</f>
        <v>484789</v>
      </c>
      <c r="H9" s="1264"/>
      <c r="I9" s="1263"/>
    </row>
    <row r="10" spans="1:10">
      <c r="B10" s="832" t="s">
        <v>759</v>
      </c>
      <c r="C10" s="818"/>
      <c r="D10" s="818"/>
      <c r="E10" s="830"/>
      <c r="F10" s="1028"/>
      <c r="G10" s="833"/>
      <c r="H10" s="1266"/>
      <c r="I10" s="1263"/>
    </row>
    <row r="11" spans="1:10">
      <c r="B11" s="834" t="s">
        <v>760</v>
      </c>
      <c r="C11" s="818"/>
      <c r="D11" s="818"/>
      <c r="E11" s="830">
        <v>3</v>
      </c>
      <c r="F11" s="831">
        <f>+F237</f>
        <v>2213235</v>
      </c>
      <c r="G11" s="831">
        <f>+G237</f>
        <v>2870555</v>
      </c>
      <c r="H11" s="1264"/>
      <c r="I11" s="1263"/>
    </row>
    <row r="12" spans="1:10">
      <c r="B12" s="1177" t="s">
        <v>761</v>
      </c>
      <c r="C12" s="818"/>
      <c r="D12" s="818"/>
      <c r="E12" s="830">
        <v>4</v>
      </c>
      <c r="F12" s="831">
        <f>+F244</f>
        <v>6377241</v>
      </c>
      <c r="G12" s="831">
        <f>+G244</f>
        <v>5674789.3599999994</v>
      </c>
      <c r="H12" s="1264"/>
      <c r="I12" s="1263"/>
    </row>
    <row r="13" spans="1:10">
      <c r="B13" s="1171" t="s">
        <v>762</v>
      </c>
      <c r="C13" s="818"/>
      <c r="D13" s="818"/>
      <c r="E13" s="830"/>
      <c r="F13" s="1110">
        <f>+SUM(F8:F12)</f>
        <v>235388122.41986933</v>
      </c>
      <c r="G13" s="1110">
        <f>+SUM(G8:G12)</f>
        <v>243442003.92000002</v>
      </c>
      <c r="H13" s="1266"/>
      <c r="I13" s="1263"/>
    </row>
    <row r="14" spans="1:10">
      <c r="B14" s="1171" t="s">
        <v>763</v>
      </c>
      <c r="C14" s="818"/>
      <c r="D14" s="818"/>
      <c r="E14" s="830"/>
      <c r="F14" s="1028"/>
      <c r="G14" s="833"/>
      <c r="H14" s="1266"/>
      <c r="I14" s="1263"/>
    </row>
    <row r="15" spans="1:10">
      <c r="B15" s="1177" t="s">
        <v>764</v>
      </c>
      <c r="C15" s="818"/>
      <c r="D15" s="818"/>
      <c r="E15" s="830">
        <v>5</v>
      </c>
      <c r="F15" s="831">
        <f>+F251</f>
        <v>67823511.89597626</v>
      </c>
      <c r="G15" s="831">
        <f>+G251</f>
        <v>51184927.105289809</v>
      </c>
      <c r="H15" s="1264"/>
      <c r="I15" s="1263"/>
    </row>
    <row r="16" spans="1:10">
      <c r="B16" s="1177" t="s">
        <v>759</v>
      </c>
      <c r="C16" s="818"/>
      <c r="D16" s="818"/>
      <c r="E16" s="830"/>
      <c r="F16" s="833"/>
      <c r="G16" s="833"/>
      <c r="H16" s="1266"/>
      <c r="I16" s="1263"/>
    </row>
    <row r="17" spans="2:10">
      <c r="B17" s="835" t="s">
        <v>765</v>
      </c>
      <c r="C17" s="818"/>
      <c r="D17" s="818"/>
      <c r="E17" s="830">
        <v>6</v>
      </c>
      <c r="F17" s="831">
        <f>+F258</f>
        <v>94854388</v>
      </c>
      <c r="G17" s="831">
        <f>+G258</f>
        <v>89957465.5</v>
      </c>
      <c r="H17" s="1264"/>
      <c r="I17" s="1268"/>
      <c r="J17" s="1268"/>
    </row>
    <row r="18" spans="2:10">
      <c r="B18" s="835" t="s">
        <v>766</v>
      </c>
      <c r="C18" s="818"/>
      <c r="D18" s="818"/>
      <c r="E18" s="830">
        <v>7</v>
      </c>
      <c r="F18" s="831">
        <f>+F271</f>
        <v>283263</v>
      </c>
      <c r="G18" s="831">
        <f>+G271</f>
        <v>96649.5</v>
      </c>
      <c r="H18" s="1264"/>
      <c r="I18" s="1263"/>
      <c r="J18" s="1268"/>
    </row>
    <row r="19" spans="2:10">
      <c r="B19" s="835" t="s">
        <v>767</v>
      </c>
      <c r="C19" s="818"/>
      <c r="D19" s="818"/>
      <c r="E19" s="830">
        <v>8</v>
      </c>
      <c r="F19" s="831">
        <f>+F276</f>
        <v>83453.5</v>
      </c>
      <c r="G19" s="831">
        <f>+G276</f>
        <v>192300</v>
      </c>
      <c r="H19" s="1264"/>
      <c r="I19" s="1263"/>
    </row>
    <row r="20" spans="2:10">
      <c r="B20" s="835" t="s">
        <v>768</v>
      </c>
      <c r="C20" s="818"/>
      <c r="D20" s="818"/>
      <c r="E20" s="830">
        <v>9</v>
      </c>
      <c r="F20" s="831">
        <f>+F284</f>
        <v>8543299.9600000009</v>
      </c>
      <c r="G20" s="831">
        <f>+G284</f>
        <v>5769158.1199999992</v>
      </c>
      <c r="H20" s="1264"/>
      <c r="I20" s="1263"/>
    </row>
    <row r="21" spans="2:10">
      <c r="B21" s="1177" t="s">
        <v>769</v>
      </c>
      <c r="C21" s="818"/>
      <c r="D21" s="818"/>
      <c r="E21" s="830">
        <v>10</v>
      </c>
      <c r="F21" s="831">
        <f>+F291</f>
        <v>5106735.7999999989</v>
      </c>
      <c r="G21" s="831">
        <f>+G291</f>
        <v>7276608.1800000006</v>
      </c>
      <c r="H21" s="1264"/>
      <c r="I21" s="1263"/>
    </row>
    <row r="22" spans="2:10">
      <c r="B22" s="1177" t="s">
        <v>770</v>
      </c>
      <c r="C22" s="818"/>
      <c r="D22" s="818"/>
      <c r="E22" s="830">
        <v>11</v>
      </c>
      <c r="F22" s="831">
        <f>+F294</f>
        <v>585094</v>
      </c>
      <c r="G22" s="831">
        <f>+G294</f>
        <v>572621</v>
      </c>
      <c r="H22" s="1264"/>
      <c r="I22" s="1263"/>
    </row>
    <row r="23" spans="2:10">
      <c r="B23" s="834"/>
      <c r="C23" s="818"/>
      <c r="D23" s="836"/>
      <c r="E23" s="837"/>
      <c r="F23" s="1110">
        <f>+SUM(F15:F22)</f>
        <v>177279746.15597627</v>
      </c>
      <c r="G23" s="1110">
        <f>+SUM(G15:G22)</f>
        <v>155049729.40528983</v>
      </c>
      <c r="H23" s="1266"/>
      <c r="I23" s="1263"/>
    </row>
    <row r="24" spans="2:10">
      <c r="B24" s="834"/>
      <c r="C24" s="818"/>
      <c r="D24" s="818"/>
      <c r="E24" s="830"/>
      <c r="F24" s="1027"/>
      <c r="G24" s="1111"/>
      <c r="H24" s="1266"/>
      <c r="I24" s="1263"/>
    </row>
    <row r="25" spans="2:10" ht="19.5" hidden="1" thickBot="1">
      <c r="B25" s="838"/>
      <c r="C25" s="818"/>
      <c r="D25" s="818"/>
      <c r="E25" s="827"/>
      <c r="F25" s="828"/>
      <c r="G25" s="839"/>
      <c r="H25" s="1266"/>
      <c r="I25" s="1263"/>
    </row>
    <row r="26" spans="2:10" ht="19.5" thickBot="1">
      <c r="B26" s="838" t="s">
        <v>771</v>
      </c>
      <c r="C26" s="818"/>
      <c r="D26" s="818"/>
      <c r="E26" s="827"/>
      <c r="F26" s="1164">
        <f>+F23+F13</f>
        <v>412667868.5758456</v>
      </c>
      <c r="G26" s="1164">
        <f>+G23+G13</f>
        <v>398491733.32528985</v>
      </c>
      <c r="H26" s="1266"/>
      <c r="I26" s="1263"/>
    </row>
    <row r="27" spans="2:10" ht="19.5" thickTop="1">
      <c r="B27" s="840" t="s">
        <v>772</v>
      </c>
      <c r="C27" s="818"/>
      <c r="D27" s="818"/>
      <c r="E27" s="830"/>
      <c r="F27" s="841"/>
      <c r="G27" s="841"/>
      <c r="H27" s="1266"/>
      <c r="I27" s="1263"/>
    </row>
    <row r="28" spans="2:10">
      <c r="B28" s="838" t="s">
        <v>773</v>
      </c>
      <c r="C28" s="818"/>
      <c r="D28" s="818"/>
      <c r="E28" s="830"/>
      <c r="F28" s="841"/>
      <c r="G28" s="841"/>
      <c r="H28" s="1266"/>
      <c r="I28" s="1263"/>
    </row>
    <row r="29" spans="2:10">
      <c r="B29" s="834" t="s">
        <v>774</v>
      </c>
      <c r="C29" s="818"/>
      <c r="D29" s="818"/>
      <c r="E29" s="830">
        <v>12</v>
      </c>
      <c r="F29" s="831">
        <f>+F156</f>
        <v>26922650</v>
      </c>
      <c r="G29" s="831">
        <f>+G156</f>
        <v>26922650</v>
      </c>
      <c r="H29" s="1264"/>
      <c r="I29" s="1263"/>
    </row>
    <row r="30" spans="2:10">
      <c r="B30" s="834" t="s">
        <v>775</v>
      </c>
      <c r="C30" s="818"/>
      <c r="D30" s="818"/>
      <c r="E30" s="830"/>
      <c r="F30" s="831">
        <f>+F198</f>
        <v>205969136.15789822</v>
      </c>
      <c r="G30" s="831">
        <f>+G198</f>
        <v>194763308.26913196</v>
      </c>
      <c r="H30" s="1264"/>
      <c r="I30" s="1263"/>
    </row>
    <row r="31" spans="2:10">
      <c r="B31" s="838" t="s">
        <v>776</v>
      </c>
      <c r="C31" s="818"/>
      <c r="D31" s="818"/>
      <c r="E31" s="830"/>
      <c r="F31" s="1112">
        <f>+SUM(F29:F30)</f>
        <v>232891786.15789822</v>
      </c>
      <c r="G31" s="1112">
        <f>+SUM(G29:G30)</f>
        <v>221685958.26913196</v>
      </c>
      <c r="H31" s="1266"/>
      <c r="I31" s="1263"/>
      <c r="J31" s="1263">
        <f>+F31/100000</f>
        <v>2328.917861578982</v>
      </c>
    </row>
    <row r="32" spans="2:10">
      <c r="B32" s="838" t="s">
        <v>777</v>
      </c>
      <c r="C32" s="818"/>
      <c r="D32" s="818"/>
      <c r="E32" s="830"/>
      <c r="F32" s="841"/>
      <c r="G32" s="841"/>
      <c r="H32" s="1266"/>
      <c r="I32" s="1263"/>
    </row>
    <row r="33" spans="2:9">
      <c r="B33" s="834" t="s">
        <v>778</v>
      </c>
      <c r="C33" s="818"/>
      <c r="D33" s="818"/>
      <c r="E33" s="830"/>
      <c r="F33" s="841"/>
      <c r="G33" s="841"/>
      <c r="H33" s="1266"/>
      <c r="I33" s="1263"/>
    </row>
    <row r="34" spans="2:9">
      <c r="B34" s="834" t="s">
        <v>779</v>
      </c>
      <c r="C34" s="818"/>
      <c r="D34" s="818"/>
      <c r="E34" s="830">
        <v>13</v>
      </c>
      <c r="F34" s="831">
        <f>+F351</f>
        <v>26342951</v>
      </c>
      <c r="G34" s="831">
        <f>+G351</f>
        <v>31105627</v>
      </c>
      <c r="H34" s="1264"/>
      <c r="I34" s="1263"/>
    </row>
    <row r="35" spans="2:9">
      <c r="B35" s="834" t="s">
        <v>1942</v>
      </c>
      <c r="C35" s="818"/>
      <c r="D35" s="818"/>
      <c r="E35" s="830">
        <v>14</v>
      </c>
      <c r="F35" s="831">
        <f>+F358</f>
        <v>2183354.7000000002</v>
      </c>
      <c r="G35" s="831">
        <f>+G358</f>
        <v>1662107</v>
      </c>
      <c r="H35" s="1264"/>
      <c r="I35" s="1263"/>
    </row>
    <row r="36" spans="2:9">
      <c r="B36" s="834" t="s">
        <v>780</v>
      </c>
      <c r="C36" s="818"/>
      <c r="D36" s="818"/>
      <c r="E36" s="830">
        <v>15</v>
      </c>
      <c r="F36" s="831">
        <f>+F372</f>
        <v>18456791.502264731</v>
      </c>
      <c r="G36" s="831">
        <f>+G372</f>
        <v>13024010.074278753</v>
      </c>
      <c r="H36" s="1264"/>
      <c r="I36" s="1263"/>
    </row>
    <row r="37" spans="2:9">
      <c r="B37" s="840" t="s">
        <v>781</v>
      </c>
      <c r="C37" s="818"/>
      <c r="D37" s="818"/>
      <c r="E37" s="830"/>
      <c r="F37" s="1112">
        <f>+SUM(F34:F36)</f>
        <v>46983097.202264726</v>
      </c>
      <c r="G37" s="1112">
        <f>+SUM(G34:G36)</f>
        <v>45791744.074278757</v>
      </c>
      <c r="H37" s="1266"/>
      <c r="I37" s="1263"/>
    </row>
    <row r="38" spans="2:9">
      <c r="B38" s="838" t="s">
        <v>782</v>
      </c>
      <c r="C38" s="818"/>
      <c r="D38" s="818"/>
      <c r="E38" s="830"/>
      <c r="F38" s="841"/>
      <c r="G38" s="841"/>
      <c r="H38" s="1266"/>
      <c r="I38" s="1263"/>
    </row>
    <row r="39" spans="2:9">
      <c r="B39" s="834" t="s">
        <v>778</v>
      </c>
      <c r="C39" s="818"/>
      <c r="D39" s="818"/>
      <c r="E39" s="830"/>
      <c r="F39" s="841"/>
      <c r="G39" s="841"/>
      <c r="H39" s="1266"/>
      <c r="I39" s="1263"/>
    </row>
    <row r="40" spans="2:9">
      <c r="B40" s="834" t="s">
        <v>779</v>
      </c>
      <c r="C40" s="818"/>
      <c r="D40" s="818"/>
      <c r="E40" s="830">
        <v>16</v>
      </c>
      <c r="F40" s="831">
        <f>+F380</f>
        <v>61843530.590000004</v>
      </c>
      <c r="G40" s="831">
        <f>+G380</f>
        <v>55675684.390000001</v>
      </c>
      <c r="H40" s="1264"/>
      <c r="I40" s="1263"/>
    </row>
    <row r="41" spans="2:9">
      <c r="B41" s="834" t="s">
        <v>783</v>
      </c>
      <c r="C41" s="818"/>
      <c r="D41" s="818"/>
      <c r="E41" s="830">
        <v>17</v>
      </c>
      <c r="F41" s="831">
        <f>+F385</f>
        <v>59045466.559999995</v>
      </c>
      <c r="G41" s="831">
        <f>+G385</f>
        <v>49656875.130000003</v>
      </c>
      <c r="H41" s="1264"/>
      <c r="I41" s="1263"/>
    </row>
    <row r="42" spans="2:9">
      <c r="B42" s="834" t="s">
        <v>784</v>
      </c>
      <c r="C42" s="818"/>
      <c r="D42" s="818"/>
      <c r="E42" s="830">
        <v>18</v>
      </c>
      <c r="F42" s="831">
        <f>+F407</f>
        <v>8240996.9399999995</v>
      </c>
      <c r="G42" s="831">
        <f>+G407</f>
        <v>20599587</v>
      </c>
      <c r="H42" s="1264"/>
      <c r="I42" s="1263"/>
    </row>
    <row r="43" spans="2:9">
      <c r="B43" s="834" t="s">
        <v>785</v>
      </c>
      <c r="C43" s="818"/>
      <c r="D43" s="818"/>
      <c r="E43" s="830">
        <v>19</v>
      </c>
      <c r="F43" s="831">
        <f>+F410</f>
        <v>537842.43999999994</v>
      </c>
      <c r="G43" s="831">
        <f>+G410</f>
        <v>539205.43999999994</v>
      </c>
      <c r="H43" s="1264"/>
      <c r="I43" s="1263"/>
    </row>
    <row r="44" spans="2:9">
      <c r="B44" s="834" t="s">
        <v>786</v>
      </c>
      <c r="C44" s="818"/>
      <c r="D44" s="818"/>
      <c r="E44" s="830">
        <v>20</v>
      </c>
      <c r="F44" s="831">
        <f>+F415</f>
        <v>3125149.180287933</v>
      </c>
      <c r="G44" s="831">
        <f>+G415</f>
        <v>4542679.421267949</v>
      </c>
      <c r="H44" s="1264"/>
      <c r="I44" s="1263"/>
    </row>
    <row r="45" spans="2:9">
      <c r="B45" s="838" t="s">
        <v>787</v>
      </c>
      <c r="C45" s="818"/>
      <c r="D45" s="818"/>
      <c r="E45" s="830"/>
      <c r="F45" s="1113">
        <f>+SUM(F40:F44)</f>
        <v>132792985.71028793</v>
      </c>
      <c r="G45" s="1113">
        <f>+SUM(G40:G44)</f>
        <v>131014031.38126796</v>
      </c>
      <c r="H45" s="1264"/>
      <c r="I45" s="1263"/>
    </row>
    <row r="46" spans="2:9" ht="19.5" thickBot="1">
      <c r="B46" s="840" t="s">
        <v>788</v>
      </c>
      <c r="C46" s="818"/>
      <c r="D46" s="818"/>
      <c r="E46" s="834"/>
      <c r="F46" s="1165">
        <f>+F45+F37+F31</f>
        <v>412667869.0704509</v>
      </c>
      <c r="G46" s="1164">
        <f>+G45+G37+G31</f>
        <v>398491733.7246787</v>
      </c>
      <c r="H46" s="1266"/>
      <c r="I46" s="1263"/>
    </row>
    <row r="47" spans="2:9" ht="19.5" thickTop="1">
      <c r="B47" s="878" t="s">
        <v>789</v>
      </c>
      <c r="C47" s="824"/>
      <c r="D47" s="824"/>
      <c r="E47" s="881" t="s">
        <v>2044</v>
      </c>
      <c r="F47" s="1117"/>
      <c r="G47" s="1116"/>
      <c r="H47" s="1266"/>
      <c r="I47" s="1263"/>
    </row>
    <row r="48" spans="2:9">
      <c r="B48" s="840"/>
      <c r="C48" s="818"/>
      <c r="D48" s="818"/>
      <c r="E48" s="842"/>
      <c r="F48" s="843"/>
      <c r="G48" s="1105"/>
      <c r="H48" s="1266"/>
      <c r="I48" s="1263"/>
    </row>
    <row r="49" spans="2:9">
      <c r="B49" s="840" t="s">
        <v>790</v>
      </c>
      <c r="C49" s="818"/>
      <c r="D49" s="818"/>
      <c r="E49" s="845"/>
      <c r="F49" s="845"/>
      <c r="G49" s="1105"/>
      <c r="H49" s="1269"/>
      <c r="I49" s="1263"/>
    </row>
    <row r="50" spans="2:9">
      <c r="B50" s="846" t="s">
        <v>791</v>
      </c>
      <c r="C50" s="847"/>
      <c r="D50" s="847"/>
      <c r="E50" s="820" t="s">
        <v>792</v>
      </c>
      <c r="F50" s="820"/>
      <c r="G50" s="973"/>
      <c r="I50" s="1263"/>
    </row>
    <row r="51" spans="2:9">
      <c r="B51" s="848" t="s">
        <v>793</v>
      </c>
      <c r="C51" s="818"/>
      <c r="D51" s="818"/>
      <c r="E51" s="820"/>
      <c r="F51" s="820"/>
      <c r="G51" s="973"/>
      <c r="H51" s="1270"/>
      <c r="I51" s="1263"/>
    </row>
    <row r="52" spans="2:9">
      <c r="B52" s="848" t="s">
        <v>794</v>
      </c>
      <c r="C52" s="849"/>
      <c r="D52" s="849"/>
      <c r="E52" s="820"/>
      <c r="F52" s="820"/>
      <c r="G52" s="973"/>
      <c r="H52" s="1270"/>
      <c r="I52" s="1263"/>
    </row>
    <row r="53" spans="2:9">
      <c r="B53" s="848" t="s">
        <v>795</v>
      </c>
      <c r="C53" s="849"/>
      <c r="D53" s="849"/>
      <c r="E53" s="820"/>
      <c r="F53" s="820"/>
      <c r="G53" s="973"/>
      <c r="H53" s="1270"/>
      <c r="I53" s="1263"/>
    </row>
    <row r="54" spans="2:9">
      <c r="B54" s="848"/>
      <c r="C54" s="818"/>
      <c r="D54" s="818"/>
      <c r="E54" s="850" t="s">
        <v>796</v>
      </c>
      <c r="F54" s="850"/>
      <c r="G54" s="973"/>
      <c r="H54" s="1271"/>
      <c r="I54" s="1263"/>
    </row>
    <row r="55" spans="2:9">
      <c r="B55" s="848"/>
      <c r="C55" s="849"/>
      <c r="D55" s="849"/>
      <c r="E55" s="818" t="s">
        <v>797</v>
      </c>
      <c r="F55" s="818"/>
      <c r="G55" s="973"/>
      <c r="H55" s="1270"/>
      <c r="I55" s="1263"/>
    </row>
    <row r="56" spans="2:9">
      <c r="B56" s="848"/>
      <c r="C56" s="849"/>
      <c r="D56" s="849"/>
      <c r="E56" s="818"/>
      <c r="F56" s="818"/>
      <c r="G56" s="973"/>
      <c r="H56" s="1270"/>
      <c r="I56" s="1263"/>
    </row>
    <row r="57" spans="2:9">
      <c r="B57" s="848"/>
      <c r="C57" s="849"/>
      <c r="D57" s="849"/>
      <c r="E57" s="818"/>
      <c r="F57" s="818"/>
      <c r="G57" s="973"/>
      <c r="H57" s="1270"/>
      <c r="I57" s="1263"/>
    </row>
    <row r="58" spans="2:9">
      <c r="B58" s="848"/>
      <c r="C58" s="849"/>
      <c r="D58" s="849"/>
      <c r="E58" s="818"/>
      <c r="F58" s="818"/>
      <c r="G58" s="973"/>
      <c r="H58" s="1270"/>
      <c r="I58" s="1263"/>
    </row>
    <row r="59" spans="2:9">
      <c r="B59" s="848" t="s">
        <v>798</v>
      </c>
      <c r="C59" s="819"/>
      <c r="D59" s="819"/>
      <c r="E59" s="850" t="s">
        <v>799</v>
      </c>
      <c r="F59" s="850"/>
      <c r="G59" s="973"/>
      <c r="H59" s="1271"/>
      <c r="I59" s="1263"/>
    </row>
    <row r="60" spans="2:9">
      <c r="B60" s="848" t="s">
        <v>800</v>
      </c>
      <c r="C60" s="851"/>
      <c r="D60" s="851"/>
      <c r="E60" s="818" t="s">
        <v>801</v>
      </c>
      <c r="F60" s="818"/>
      <c r="G60" s="973"/>
      <c r="H60" s="1271"/>
      <c r="I60" s="1263"/>
    </row>
    <row r="61" spans="2:9">
      <c r="B61" s="848" t="s">
        <v>802</v>
      </c>
      <c r="C61" s="851"/>
      <c r="D61" s="851"/>
      <c r="E61" s="820"/>
      <c r="F61" s="820"/>
      <c r="G61" s="973"/>
      <c r="H61" s="1271"/>
      <c r="I61" s="1263"/>
    </row>
    <row r="62" spans="2:9">
      <c r="B62" s="848" t="s">
        <v>803</v>
      </c>
      <c r="C62" s="851"/>
      <c r="D62" s="851"/>
      <c r="E62" s="820"/>
      <c r="F62" s="820"/>
      <c r="G62" s="973"/>
      <c r="H62" s="1271"/>
      <c r="I62" s="1263"/>
    </row>
    <row r="63" spans="2:9" ht="36" customHeight="1">
      <c r="B63" s="848" t="s">
        <v>2000</v>
      </c>
      <c r="C63" s="851"/>
      <c r="D63" s="851"/>
      <c r="E63" s="1401" t="s">
        <v>1998</v>
      </c>
      <c r="F63" s="1401"/>
      <c r="G63" s="1402"/>
      <c r="H63" s="1271"/>
      <c r="I63" s="1263"/>
    </row>
    <row r="64" spans="2:9">
      <c r="B64" s="848" t="s">
        <v>2007</v>
      </c>
      <c r="C64" s="851"/>
      <c r="D64" s="851"/>
      <c r="E64" s="818" t="s">
        <v>804</v>
      </c>
      <c r="F64" s="818"/>
      <c r="G64" s="973"/>
      <c r="H64" s="1270"/>
      <c r="I64" s="1263"/>
    </row>
    <row r="65" spans="2:9">
      <c r="B65" s="848"/>
      <c r="C65" s="851"/>
      <c r="D65" s="851"/>
      <c r="E65" s="818"/>
      <c r="F65" s="818"/>
      <c r="G65" s="973"/>
      <c r="H65" s="1270"/>
      <c r="I65" s="1263"/>
    </row>
    <row r="66" spans="2:9">
      <c r="B66" s="848"/>
      <c r="C66" s="851"/>
      <c r="D66" s="851"/>
      <c r="E66" s="818"/>
      <c r="F66" s="818"/>
      <c r="G66" s="973"/>
      <c r="H66" s="1270"/>
      <c r="I66" s="1263"/>
    </row>
    <row r="67" spans="2:9">
      <c r="B67" s="848"/>
      <c r="C67" s="851"/>
      <c r="D67" s="851"/>
      <c r="E67" s="818"/>
      <c r="F67" s="818"/>
      <c r="G67" s="973"/>
      <c r="H67" s="1270"/>
      <c r="I67" s="1263"/>
    </row>
    <row r="68" spans="2:9">
      <c r="B68" s="848"/>
      <c r="C68" s="851"/>
      <c r="D68" s="851"/>
      <c r="E68" s="850" t="s">
        <v>1999</v>
      </c>
      <c r="F68" s="850"/>
      <c r="G68" s="973"/>
      <c r="H68" s="1270"/>
      <c r="I68" s="1263"/>
    </row>
    <row r="69" spans="2:9">
      <c r="B69" s="848"/>
      <c r="C69" s="851"/>
      <c r="D69" s="851"/>
      <c r="E69" s="818" t="s">
        <v>805</v>
      </c>
      <c r="F69" s="818"/>
      <c r="G69" s="973"/>
      <c r="H69" s="1270"/>
      <c r="I69" s="1263"/>
    </row>
    <row r="70" spans="2:9">
      <c r="B70" s="848"/>
      <c r="C70" s="851"/>
      <c r="D70" s="851"/>
      <c r="E70" s="818"/>
      <c r="F70" s="818"/>
      <c r="G70" s="973"/>
      <c r="H70" s="1270"/>
      <c r="I70" s="1263"/>
    </row>
    <row r="71" spans="2:9">
      <c r="B71" s="848"/>
      <c r="C71" s="851"/>
      <c r="D71" s="851"/>
      <c r="E71" s="818"/>
      <c r="F71" s="818"/>
      <c r="G71" s="973"/>
      <c r="H71" s="1270"/>
      <c r="I71" s="1263"/>
    </row>
    <row r="72" spans="2:9">
      <c r="B72" s="848"/>
      <c r="C72" s="851"/>
      <c r="D72" s="851"/>
      <c r="E72" s="818"/>
      <c r="F72" s="818"/>
      <c r="G72" s="973"/>
      <c r="H72" s="1270"/>
      <c r="I72" s="1263"/>
    </row>
    <row r="73" spans="2:9">
      <c r="B73" s="848"/>
      <c r="C73" s="851"/>
      <c r="D73" s="851"/>
      <c r="E73" s="849" t="s">
        <v>806</v>
      </c>
      <c r="F73" s="849"/>
      <c r="G73" s="973"/>
      <c r="H73" s="1270"/>
      <c r="I73" s="1263"/>
    </row>
    <row r="74" spans="2:9">
      <c r="B74" s="848"/>
      <c r="C74" s="851"/>
      <c r="D74" s="851"/>
      <c r="E74" s="818"/>
      <c r="F74" s="818"/>
      <c r="G74" s="973"/>
      <c r="H74" s="1270"/>
      <c r="I74" s="1263"/>
    </row>
    <row r="75" spans="2:9">
      <c r="B75" s="852"/>
      <c r="C75" s="851"/>
      <c r="D75" s="851"/>
      <c r="E75" s="820"/>
      <c r="F75" s="820"/>
      <c r="G75" s="973"/>
      <c r="H75" s="1271"/>
      <c r="I75" s="1263"/>
    </row>
    <row r="76" spans="2:9">
      <c r="B76" s="853"/>
      <c r="C76" s="818"/>
      <c r="D76" s="818"/>
      <c r="E76" s="854" t="s">
        <v>803</v>
      </c>
      <c r="F76" s="854"/>
      <c r="G76" s="973"/>
      <c r="I76" s="1263"/>
    </row>
    <row r="77" spans="2:9">
      <c r="B77" s="855"/>
      <c r="C77" s="824"/>
      <c r="D77" s="824"/>
      <c r="E77" s="856" t="s">
        <v>2000</v>
      </c>
      <c r="F77" s="856"/>
      <c r="G77" s="975"/>
      <c r="H77" s="1266"/>
      <c r="I77" s="1263"/>
    </row>
    <row r="78" spans="2:9">
      <c r="B78" s="1473" t="s">
        <v>750</v>
      </c>
      <c r="C78" s="1474"/>
      <c r="D78" s="1474"/>
      <c r="E78" s="1474"/>
      <c r="F78" s="1474"/>
      <c r="G78" s="1475"/>
      <c r="H78" s="1272"/>
      <c r="I78" s="1263"/>
    </row>
    <row r="79" spans="2:9" ht="15.75" customHeight="1">
      <c r="B79" s="1476" t="s">
        <v>807</v>
      </c>
      <c r="C79" s="1477"/>
      <c r="D79" s="1477"/>
      <c r="E79" s="1477"/>
      <c r="F79" s="1477"/>
      <c r="G79" s="1478"/>
      <c r="H79" s="1272"/>
      <c r="I79" s="1263"/>
    </row>
    <row r="80" spans="2:9">
      <c r="B80" s="1114" t="s">
        <v>9</v>
      </c>
      <c r="C80" s="858"/>
      <c r="D80" s="1118"/>
      <c r="E80" s="1468" t="s">
        <v>751</v>
      </c>
      <c r="F80" s="1115" t="s">
        <v>2008</v>
      </c>
      <c r="G80" s="1115" t="s">
        <v>2008</v>
      </c>
      <c r="H80" s="1266"/>
      <c r="I80" s="1263"/>
    </row>
    <row r="81" spans="2:11">
      <c r="B81" s="823" t="s">
        <v>749</v>
      </c>
      <c r="C81" s="824"/>
      <c r="D81" s="859"/>
      <c r="E81" s="1469"/>
      <c r="F81" s="860" t="s">
        <v>2004</v>
      </c>
      <c r="G81" s="860" t="s">
        <v>2005</v>
      </c>
      <c r="H81" s="1266"/>
      <c r="I81" s="1263"/>
    </row>
    <row r="82" spans="2:11">
      <c r="B82" s="834" t="s">
        <v>808</v>
      </c>
      <c r="C82" s="818"/>
      <c r="D82" s="818"/>
      <c r="E82" s="1119">
        <v>21</v>
      </c>
      <c r="F82" s="1120">
        <f>+F428</f>
        <v>698726028.5999999</v>
      </c>
      <c r="G82" s="1120">
        <f>+G428</f>
        <v>805648112.33000004</v>
      </c>
      <c r="H82" s="1266"/>
      <c r="I82" s="1263"/>
      <c r="J82" s="1263">
        <f>+F82/100000</f>
        <v>6987.2602859999988</v>
      </c>
    </row>
    <row r="83" spans="2:11">
      <c r="B83" s="834" t="s">
        <v>809</v>
      </c>
      <c r="C83" s="818"/>
      <c r="D83" s="818"/>
      <c r="E83" s="861">
        <v>22</v>
      </c>
      <c r="F83" s="831">
        <f>+F437</f>
        <v>1037875</v>
      </c>
      <c r="G83" s="831">
        <f>+G437</f>
        <v>1003456.05</v>
      </c>
      <c r="H83" s="1266"/>
      <c r="I83" s="1263"/>
    </row>
    <row r="84" spans="2:11">
      <c r="B84" s="838" t="s">
        <v>810</v>
      </c>
      <c r="C84" s="818"/>
      <c r="D84" s="818"/>
      <c r="E84" s="834"/>
      <c r="F84" s="1121">
        <f>+F82+F83</f>
        <v>699763903.5999999</v>
      </c>
      <c r="G84" s="1121">
        <f>+G82+G83</f>
        <v>806651568.38</v>
      </c>
      <c r="H84" s="1266"/>
      <c r="I84" s="1263"/>
    </row>
    <row r="85" spans="2:11">
      <c r="B85" s="862" t="s">
        <v>811</v>
      </c>
      <c r="C85" s="818"/>
      <c r="D85" s="818"/>
      <c r="E85" s="834"/>
      <c r="F85" s="834"/>
      <c r="G85" s="828"/>
      <c r="H85" s="1266"/>
      <c r="I85" s="1263"/>
    </row>
    <row r="86" spans="2:11">
      <c r="B86" s="834" t="s">
        <v>812</v>
      </c>
      <c r="C86" s="818"/>
      <c r="D86" s="818"/>
      <c r="E86" s="861">
        <v>23</v>
      </c>
      <c r="F86" s="831">
        <f>+F443</f>
        <v>432876064.31871474</v>
      </c>
      <c r="G86" s="831">
        <f>+G443</f>
        <v>488147530.67999995</v>
      </c>
      <c r="H86" s="1266"/>
      <c r="I86" s="1273" t="e">
        <v>#REF!</v>
      </c>
    </row>
    <row r="87" spans="2:11">
      <c r="B87" s="834" t="s">
        <v>1986</v>
      </c>
      <c r="C87" s="818"/>
      <c r="D87" s="818"/>
      <c r="E87" s="861"/>
      <c r="F87" s="831">
        <v>1234765</v>
      </c>
      <c r="G87" s="831">
        <v>0</v>
      </c>
      <c r="H87" s="1266"/>
      <c r="I87" s="1274"/>
    </row>
    <row r="88" spans="2:11">
      <c r="B88" s="863" t="s">
        <v>813</v>
      </c>
      <c r="C88" s="818"/>
      <c r="D88" s="818"/>
      <c r="E88" s="861">
        <v>24</v>
      </c>
      <c r="F88" s="831">
        <f>+F447</f>
        <v>5686699.3805988217</v>
      </c>
      <c r="G88" s="831">
        <f>+G447</f>
        <v>-4456285.2896673679</v>
      </c>
      <c r="H88" s="1266"/>
      <c r="I88" s="1263"/>
      <c r="K88" s="1274">
        <f>+F102/F97</f>
        <v>0.4701062756507417</v>
      </c>
    </row>
    <row r="89" spans="2:11">
      <c r="B89" s="834" t="s">
        <v>814</v>
      </c>
      <c r="C89" s="818"/>
      <c r="D89" s="818"/>
      <c r="E89" s="861">
        <v>25</v>
      </c>
      <c r="F89" s="831">
        <f>+F452</f>
        <v>21336667</v>
      </c>
      <c r="G89" s="831">
        <f>+G452</f>
        <v>21422390</v>
      </c>
      <c r="H89" s="1266"/>
      <c r="I89" s="1263"/>
    </row>
    <row r="90" spans="2:11">
      <c r="B90" s="834" t="s">
        <v>815</v>
      </c>
      <c r="C90" s="818"/>
      <c r="D90" s="836"/>
      <c r="E90" s="861">
        <v>26</v>
      </c>
      <c r="F90" s="831">
        <f>+F456</f>
        <v>9356360.9400000013</v>
      </c>
      <c r="G90" s="831">
        <f>+G456</f>
        <v>14376693.74</v>
      </c>
      <c r="H90" s="1266"/>
      <c r="I90" s="1263"/>
    </row>
    <row r="91" spans="2:11">
      <c r="B91" s="1422" t="s">
        <v>816</v>
      </c>
      <c r="C91" s="1423"/>
      <c r="D91" s="1179"/>
      <c r="E91" s="861">
        <v>2</v>
      </c>
      <c r="F91" s="831">
        <f>+'Depreciation Co. Act'!J77+'Depreciation Co. Act'!K77</f>
        <v>17192939</v>
      </c>
      <c r="G91" s="831">
        <v>16467600</v>
      </c>
      <c r="H91" s="1264"/>
      <c r="I91" s="1263"/>
    </row>
    <row r="92" spans="2:11">
      <c r="B92" s="834" t="s">
        <v>817</v>
      </c>
      <c r="C92" s="818"/>
      <c r="D92" s="836"/>
      <c r="E92" s="861">
        <v>27</v>
      </c>
      <c r="F92" s="831">
        <f>+F505</f>
        <v>190581608.54999998</v>
      </c>
      <c r="G92" s="831">
        <f>+G505</f>
        <v>199610852.02000001</v>
      </c>
      <c r="H92" s="1266"/>
      <c r="I92" s="1263"/>
    </row>
    <row r="93" spans="2:11">
      <c r="B93" s="838" t="s">
        <v>818</v>
      </c>
      <c r="C93" s="818"/>
      <c r="D93" s="836"/>
      <c r="E93" s="834"/>
      <c r="F93" s="1121">
        <f>+SUM(F86:F92)</f>
        <v>678265104.18931353</v>
      </c>
      <c r="G93" s="1121">
        <f>+SUM(G86:G92)</f>
        <v>735568781.15033257</v>
      </c>
      <c r="I93" s="1263"/>
    </row>
    <row r="94" spans="2:11">
      <c r="B94" s="840" t="s">
        <v>819</v>
      </c>
      <c r="C94" s="864"/>
      <c r="D94" s="865"/>
      <c r="E94" s="834"/>
      <c r="F94" s="866">
        <f>+F84-F93</f>
        <v>21498799.410686374</v>
      </c>
      <c r="G94" s="866">
        <f>+G84-G93</f>
        <v>71082787.229667425</v>
      </c>
      <c r="I94" s="1263"/>
    </row>
    <row r="95" spans="2:11">
      <c r="B95" s="1422" t="s">
        <v>820</v>
      </c>
      <c r="C95" s="1423"/>
      <c r="D95" s="1179"/>
      <c r="E95" s="834"/>
      <c r="F95" s="867">
        <v>0</v>
      </c>
      <c r="G95" s="868">
        <v>0</v>
      </c>
      <c r="I95" s="1263"/>
    </row>
    <row r="96" spans="2:11">
      <c r="B96" s="1177"/>
      <c r="C96" s="1178"/>
      <c r="D96" s="1178"/>
      <c r="E96" s="834"/>
      <c r="F96" s="834"/>
      <c r="G96" s="868"/>
      <c r="I96" s="1263"/>
    </row>
    <row r="97" spans="2:9">
      <c r="B97" s="838" t="s">
        <v>821</v>
      </c>
      <c r="C97" s="818"/>
      <c r="D97" s="818"/>
      <c r="E97" s="834"/>
      <c r="F97" s="866">
        <f>+F94-F95</f>
        <v>21498799.410686374</v>
      </c>
      <c r="G97" s="866">
        <f>+G94-G95</f>
        <v>71082787.229667425</v>
      </c>
      <c r="I97" s="1263"/>
    </row>
    <row r="98" spans="2:9">
      <c r="B98" s="834" t="s">
        <v>822</v>
      </c>
      <c r="C98" s="818"/>
      <c r="D98" s="818"/>
      <c r="E98" s="834"/>
      <c r="F98" s="834"/>
      <c r="G98" s="1122"/>
      <c r="H98" s="1266"/>
      <c r="I98" s="1263"/>
    </row>
    <row r="99" spans="2:9">
      <c r="B99" s="834" t="s">
        <v>823</v>
      </c>
      <c r="C99" s="818"/>
      <c r="D99" s="818"/>
      <c r="E99" s="861"/>
      <c r="F99" s="869">
        <f>+Computation!J79</f>
        <v>4514807.180287933</v>
      </c>
      <c r="G99" s="831">
        <v>16160409.421267949</v>
      </c>
      <c r="H99" s="1266"/>
      <c r="I99" s="1263"/>
    </row>
    <row r="100" spans="2:9">
      <c r="B100" s="834" t="s">
        <v>824</v>
      </c>
      <c r="C100" s="818"/>
      <c r="D100" s="818"/>
      <c r="E100" s="861"/>
      <c r="F100" s="870">
        <v>5440948</v>
      </c>
      <c r="G100" s="1045">
        <v>0</v>
      </c>
      <c r="H100" s="1266"/>
      <c r="I100" s="1263"/>
    </row>
    <row r="101" spans="2:9">
      <c r="B101" s="834" t="s">
        <v>825</v>
      </c>
      <c r="C101" s="818"/>
      <c r="D101" s="818"/>
      <c r="E101" s="861"/>
      <c r="F101" s="869">
        <f>+'Deffered Tax'!I38</f>
        <v>150965.34163219854</v>
      </c>
      <c r="G101" s="831">
        <v>-4070982.4607324935</v>
      </c>
      <c r="H101" s="1266"/>
      <c r="I101" s="1263"/>
    </row>
    <row r="102" spans="2:9">
      <c r="B102" s="834"/>
      <c r="C102" s="818"/>
      <c r="D102" s="818"/>
      <c r="E102" s="861"/>
      <c r="F102" s="1123">
        <f>+SUM(F99:F101)</f>
        <v>10106720.521920132</v>
      </c>
      <c r="G102" s="1110">
        <f>+SUM(G99:G101)</f>
        <v>12089426.960535455</v>
      </c>
      <c r="H102" s="1266"/>
      <c r="I102" s="1263"/>
    </row>
    <row r="103" spans="2:9" ht="19.5" thickBot="1">
      <c r="B103" s="838" t="s">
        <v>826</v>
      </c>
      <c r="C103" s="818"/>
      <c r="D103" s="818"/>
      <c r="E103" s="834"/>
      <c r="F103" s="871">
        <f>+F97-F102</f>
        <v>11392078.888766242</v>
      </c>
      <c r="G103" s="876">
        <f>+G97-G102</f>
        <v>58993360.269131973</v>
      </c>
      <c r="H103" s="1266"/>
      <c r="I103" s="1274">
        <f>+(F99+F101)/F97</f>
        <v>0.21702479439856179</v>
      </c>
    </row>
    <row r="104" spans="2:9" ht="19.5" thickTop="1">
      <c r="B104" s="1470"/>
      <c r="C104" s="1471"/>
      <c r="D104" s="836"/>
      <c r="E104" s="834"/>
      <c r="F104" s="834"/>
      <c r="G104" s="828"/>
      <c r="H104" s="1266"/>
      <c r="I104" s="1263"/>
    </row>
    <row r="105" spans="2:9">
      <c r="B105" s="1470" t="s">
        <v>827</v>
      </c>
      <c r="C105" s="1471"/>
      <c r="D105" s="836"/>
      <c r="E105" s="861">
        <v>28</v>
      </c>
      <c r="F105" s="861"/>
      <c r="G105" s="828"/>
      <c r="H105" s="1266"/>
      <c r="I105" s="1263"/>
    </row>
    <row r="106" spans="2:9">
      <c r="B106" s="863" t="s">
        <v>828</v>
      </c>
      <c r="C106" s="872"/>
      <c r="D106" s="836"/>
      <c r="E106" s="827"/>
      <c r="F106" s="828">
        <v>-186251</v>
      </c>
      <c r="G106" s="828">
        <v>-535558</v>
      </c>
      <c r="H106" s="1266"/>
      <c r="I106" s="1263"/>
    </row>
    <row r="107" spans="2:9">
      <c r="B107" s="863" t="s">
        <v>829</v>
      </c>
      <c r="C107" s="872"/>
      <c r="D107" s="836"/>
      <c r="E107" s="827"/>
      <c r="F107" s="828">
        <v>0</v>
      </c>
      <c r="G107" s="828">
        <v>0</v>
      </c>
      <c r="H107" s="1266"/>
      <c r="I107" s="1263"/>
    </row>
    <row r="108" spans="2:9">
      <c r="B108" s="863" t="s">
        <v>830</v>
      </c>
      <c r="C108" s="872"/>
      <c r="D108" s="836"/>
      <c r="E108" s="827"/>
      <c r="F108" s="828">
        <v>0</v>
      </c>
      <c r="G108" s="828">
        <v>0</v>
      </c>
      <c r="H108" s="1266"/>
      <c r="I108" s="1263"/>
    </row>
    <row r="109" spans="2:9">
      <c r="B109" s="863" t="s">
        <v>829</v>
      </c>
      <c r="C109" s="873"/>
      <c r="D109" s="836"/>
      <c r="E109" s="827"/>
      <c r="F109" s="874">
        <v>0</v>
      </c>
      <c r="G109" s="874">
        <v>0</v>
      </c>
      <c r="H109" s="1266"/>
      <c r="I109" s="1263"/>
    </row>
    <row r="110" spans="2:9">
      <c r="B110" s="826" t="s">
        <v>831</v>
      </c>
      <c r="C110" s="875"/>
      <c r="D110" s="836"/>
      <c r="E110" s="827"/>
      <c r="F110" s="874">
        <f>+SUM(F106:F109)</f>
        <v>-186251</v>
      </c>
      <c r="G110" s="874">
        <f>+SUM(G106:G109)</f>
        <v>-535558</v>
      </c>
      <c r="H110" s="1266"/>
      <c r="I110" s="1263"/>
    </row>
    <row r="111" spans="2:9">
      <c r="B111" s="1466"/>
      <c r="C111" s="1467"/>
      <c r="D111" s="1472"/>
      <c r="E111" s="834"/>
      <c r="F111" s="834"/>
      <c r="G111" s="828"/>
      <c r="H111" s="1266"/>
      <c r="I111" s="1263"/>
    </row>
    <row r="112" spans="2:9">
      <c r="B112" s="826"/>
      <c r="C112" s="875"/>
      <c r="D112" s="836"/>
      <c r="E112" s="834"/>
      <c r="F112" s="834"/>
      <c r="G112" s="1045"/>
      <c r="H112" s="1266"/>
      <c r="I112" s="1263"/>
    </row>
    <row r="113" spans="2:12" ht="19.5" thickBot="1">
      <c r="B113" s="1466" t="s">
        <v>832</v>
      </c>
      <c r="C113" s="1467"/>
      <c r="D113" s="836"/>
      <c r="E113" s="834"/>
      <c r="F113" s="876">
        <f>+F103+F110</f>
        <v>11205827.888766242</v>
      </c>
      <c r="G113" s="876">
        <f>+G103+G110</f>
        <v>58457802.269131973</v>
      </c>
      <c r="H113" s="1266"/>
      <c r="I113" s="1275">
        <v>574460.14471014962</v>
      </c>
      <c r="J113" s="1266"/>
      <c r="K113" s="1266"/>
      <c r="L113" s="1266"/>
    </row>
    <row r="114" spans="2:12" ht="19.5" thickTop="1">
      <c r="B114" s="1466"/>
      <c r="C114" s="1467"/>
      <c r="D114" s="836"/>
      <c r="E114" s="834"/>
      <c r="F114" s="834"/>
      <c r="G114" s="828"/>
      <c r="H114" s="1266"/>
      <c r="I114" s="1263"/>
    </row>
    <row r="115" spans="2:12">
      <c r="B115" s="834" t="s">
        <v>1970</v>
      </c>
      <c r="C115" s="818"/>
      <c r="D115" s="818"/>
      <c r="E115" s="1176">
        <v>29</v>
      </c>
      <c r="F115" s="877">
        <f>+F527</f>
        <v>4.2314106853397577</v>
      </c>
      <c r="G115" s="1124">
        <f>+G527</f>
        <v>21.912166992897049</v>
      </c>
      <c r="H115" s="1266"/>
      <c r="I115" s="1263"/>
    </row>
    <row r="116" spans="2:12">
      <c r="B116" s="834" t="s">
        <v>1971</v>
      </c>
      <c r="C116" s="818"/>
      <c r="D116" s="818"/>
      <c r="E116" s="1176"/>
      <c r="F116" s="877">
        <f>+F528</f>
        <v>4.2314106853397577</v>
      </c>
      <c r="G116" s="1124">
        <f>+G528</f>
        <v>21.912166992897049</v>
      </c>
      <c r="H116" s="1266"/>
      <c r="I116" s="1263"/>
    </row>
    <row r="117" spans="2:12">
      <c r="B117" s="878" t="s">
        <v>789</v>
      </c>
      <c r="C117" s="879"/>
      <c r="D117" s="880"/>
      <c r="E117" s="881" t="s">
        <v>2044</v>
      </c>
      <c r="F117" s="882"/>
      <c r="G117" s="874"/>
      <c r="H117" s="1266"/>
      <c r="I117" s="1263"/>
    </row>
    <row r="118" spans="2:12">
      <c r="B118" s="852" t="s">
        <v>790</v>
      </c>
      <c r="C118" s="819"/>
      <c r="D118" s="819"/>
      <c r="E118" s="820"/>
      <c r="F118" s="820"/>
      <c r="G118" s="973"/>
      <c r="H118" s="1266"/>
      <c r="I118" s="1263"/>
    </row>
    <row r="119" spans="2:12">
      <c r="B119" s="852"/>
      <c r="C119" s="819"/>
      <c r="D119" s="819"/>
      <c r="E119" s="820"/>
      <c r="F119" s="820"/>
      <c r="G119" s="973"/>
      <c r="I119" s="1263"/>
    </row>
    <row r="120" spans="2:12">
      <c r="B120" s="846" t="s">
        <v>791</v>
      </c>
      <c r="C120" s="847"/>
      <c r="D120" s="847"/>
      <c r="E120" s="820" t="s">
        <v>792</v>
      </c>
      <c r="F120" s="820"/>
      <c r="G120" s="973"/>
      <c r="I120" s="1263"/>
    </row>
    <row r="121" spans="2:12">
      <c r="B121" s="848" t="s">
        <v>793</v>
      </c>
      <c r="C121" s="818"/>
      <c r="D121" s="818"/>
      <c r="E121" s="820"/>
      <c r="F121" s="820"/>
      <c r="G121" s="973"/>
      <c r="H121" s="1270"/>
      <c r="I121" s="1263"/>
    </row>
    <row r="122" spans="2:12">
      <c r="B122" s="848" t="s">
        <v>794</v>
      </c>
      <c r="C122" s="849"/>
      <c r="D122" s="849"/>
      <c r="E122" s="820"/>
      <c r="F122" s="820"/>
      <c r="G122" s="973"/>
      <c r="H122" s="1270"/>
      <c r="I122" s="1263"/>
    </row>
    <row r="123" spans="2:12">
      <c r="B123" s="848" t="s">
        <v>795</v>
      </c>
      <c r="C123" s="849"/>
      <c r="D123" s="849"/>
      <c r="E123" s="820"/>
      <c r="F123" s="820"/>
      <c r="G123" s="973"/>
      <c r="H123" s="1270"/>
      <c r="I123" s="1263"/>
    </row>
    <row r="124" spans="2:12">
      <c r="B124" s="848"/>
      <c r="C124" s="818"/>
      <c r="D124" s="818"/>
      <c r="E124" s="850" t="s">
        <v>796</v>
      </c>
      <c r="F124" s="850"/>
      <c r="G124" s="973"/>
      <c r="H124" s="1271"/>
      <c r="I124" s="1263"/>
    </row>
    <row r="125" spans="2:12">
      <c r="B125" s="848"/>
      <c r="C125" s="818"/>
      <c r="D125" s="818"/>
      <c r="E125" s="818" t="s">
        <v>797</v>
      </c>
      <c r="F125" s="818"/>
      <c r="G125" s="973"/>
      <c r="H125" s="1271"/>
      <c r="I125" s="1263"/>
    </row>
    <row r="126" spans="2:12">
      <c r="B126" s="848"/>
      <c r="C126" s="818"/>
      <c r="D126" s="818"/>
      <c r="E126" s="818"/>
      <c r="F126" s="818"/>
      <c r="G126" s="973"/>
      <c r="H126" s="1271"/>
      <c r="I126" s="1263"/>
    </row>
    <row r="127" spans="2:12">
      <c r="B127" s="848"/>
      <c r="C127" s="818"/>
      <c r="D127" s="818"/>
      <c r="E127" s="818"/>
      <c r="F127" s="818"/>
      <c r="G127" s="973"/>
      <c r="H127" s="1271"/>
      <c r="I127" s="1263"/>
    </row>
    <row r="128" spans="2:12">
      <c r="B128" s="848"/>
      <c r="C128" s="849"/>
      <c r="D128" s="849"/>
      <c r="E128" s="818"/>
      <c r="F128" s="818"/>
      <c r="G128" s="973"/>
      <c r="H128" s="1270"/>
      <c r="I128" s="1263"/>
    </row>
    <row r="129" spans="2:9">
      <c r="B129" s="853" t="s">
        <v>798</v>
      </c>
      <c r="C129" s="819"/>
      <c r="D129" s="819"/>
      <c r="E129" s="850" t="s">
        <v>799</v>
      </c>
      <c r="F129" s="850"/>
      <c r="G129" s="973"/>
      <c r="H129" s="1271"/>
      <c r="I129" s="1263"/>
    </row>
    <row r="130" spans="2:9">
      <c r="B130" s="848" t="s">
        <v>800</v>
      </c>
      <c r="C130" s="851"/>
      <c r="D130" s="851"/>
      <c r="E130" s="818" t="s">
        <v>801</v>
      </c>
      <c r="F130" s="818"/>
      <c r="G130" s="973"/>
      <c r="H130" s="1271"/>
      <c r="I130" s="1263"/>
    </row>
    <row r="131" spans="2:9">
      <c r="B131" s="848" t="s">
        <v>802</v>
      </c>
      <c r="C131" s="851"/>
      <c r="D131" s="851"/>
      <c r="E131" s="820"/>
      <c r="F131" s="820"/>
      <c r="G131" s="973"/>
      <c r="H131" s="1271"/>
      <c r="I131" s="1263"/>
    </row>
    <row r="132" spans="2:9">
      <c r="B132" s="848" t="s">
        <v>803</v>
      </c>
      <c r="C132" s="851"/>
      <c r="D132" s="851"/>
      <c r="E132" s="820"/>
      <c r="F132" s="820"/>
      <c r="G132" s="973"/>
      <c r="H132" s="1270"/>
      <c r="I132" s="1263"/>
    </row>
    <row r="133" spans="2:9" ht="38.25" customHeight="1">
      <c r="B133" s="1166" t="str">
        <f>+B63</f>
        <v>Date: 03/07/2020</v>
      </c>
      <c r="C133" s="851"/>
      <c r="D133" s="851"/>
      <c r="E133" s="1401" t="str">
        <f>+E63</f>
        <v>JARNAIL SINGH SAINI - CHIEF FINANCIAL OFFICER &amp; EXECUTIVE DIRECTOR</v>
      </c>
      <c r="F133" s="1401"/>
      <c r="G133" s="1402"/>
      <c r="H133" s="1271"/>
      <c r="I133" s="1263"/>
    </row>
    <row r="134" spans="2:9">
      <c r="B134" s="848" t="s">
        <v>2007</v>
      </c>
      <c r="C134" s="818"/>
      <c r="D134" s="818"/>
      <c r="E134" s="818" t="s">
        <v>804</v>
      </c>
      <c r="F134" s="818"/>
      <c r="G134" s="973"/>
      <c r="I134" s="1263"/>
    </row>
    <row r="135" spans="2:9">
      <c r="B135" s="853"/>
      <c r="C135" s="818"/>
      <c r="D135" s="818"/>
      <c r="E135" s="818"/>
      <c r="F135" s="818"/>
      <c r="G135" s="973"/>
      <c r="I135" s="1263"/>
    </row>
    <row r="136" spans="2:9">
      <c r="B136" s="853"/>
      <c r="C136" s="818"/>
      <c r="D136" s="818"/>
      <c r="E136" s="818"/>
      <c r="F136" s="818"/>
      <c r="G136" s="973"/>
      <c r="I136" s="1263"/>
    </row>
    <row r="137" spans="2:9">
      <c r="B137" s="853"/>
      <c r="C137" s="818"/>
      <c r="D137" s="818"/>
      <c r="E137" s="818"/>
      <c r="F137" s="818"/>
      <c r="G137" s="973"/>
      <c r="I137" s="1263"/>
    </row>
    <row r="138" spans="2:9">
      <c r="B138" s="853"/>
      <c r="C138" s="818"/>
      <c r="D138" s="818"/>
      <c r="E138" s="850" t="str">
        <f>+E68</f>
        <v>OMPRAKASH RATHI - EXECUTIVE DIRECTOR</v>
      </c>
      <c r="F138" s="850"/>
      <c r="G138" s="973"/>
      <c r="I138" s="1263"/>
    </row>
    <row r="139" spans="2:9">
      <c r="B139" s="853"/>
      <c r="C139" s="818"/>
      <c r="D139" s="818"/>
      <c r="E139" s="818" t="s">
        <v>805</v>
      </c>
      <c r="F139" s="818"/>
      <c r="G139" s="973"/>
      <c r="I139" s="1263"/>
    </row>
    <row r="140" spans="2:9">
      <c r="B140" s="853"/>
      <c r="C140" s="818"/>
      <c r="D140" s="818"/>
      <c r="E140" s="818"/>
      <c r="F140" s="818"/>
      <c r="G140" s="973"/>
      <c r="I140" s="1263"/>
    </row>
    <row r="141" spans="2:9">
      <c r="B141" s="853"/>
      <c r="C141" s="818"/>
      <c r="D141" s="818"/>
      <c r="E141" s="818"/>
      <c r="F141" s="818"/>
      <c r="G141" s="973"/>
      <c r="I141" s="1263"/>
    </row>
    <row r="142" spans="2:9">
      <c r="B142" s="853"/>
      <c r="C142" s="818"/>
      <c r="D142" s="818"/>
      <c r="E142" s="818"/>
      <c r="F142" s="818"/>
      <c r="G142" s="973"/>
      <c r="I142" s="1263"/>
    </row>
    <row r="143" spans="2:9">
      <c r="B143" s="853"/>
      <c r="C143" s="818"/>
      <c r="D143" s="818"/>
      <c r="E143" s="850" t="str">
        <f>+E73</f>
        <v>MAYANK LUNIYA - COMPANY SECRETARY</v>
      </c>
      <c r="F143" s="849"/>
      <c r="G143" s="973"/>
      <c r="I143" s="1263"/>
    </row>
    <row r="144" spans="2:9">
      <c r="B144" s="853"/>
      <c r="C144" s="818"/>
      <c r="D144" s="818"/>
      <c r="E144" s="818"/>
      <c r="F144" s="818"/>
      <c r="G144" s="973"/>
      <c r="I144" s="1263"/>
    </row>
    <row r="145" spans="1:19">
      <c r="B145" s="853"/>
      <c r="C145" s="818"/>
      <c r="D145" s="818"/>
      <c r="E145" s="820"/>
      <c r="F145" s="820"/>
      <c r="G145" s="973"/>
      <c r="I145" s="1263"/>
    </row>
    <row r="146" spans="1:19">
      <c r="B146" s="853"/>
      <c r="C146" s="818"/>
      <c r="D146" s="818"/>
      <c r="E146" s="854" t="s">
        <v>803</v>
      </c>
      <c r="F146" s="854"/>
      <c r="G146" s="973"/>
      <c r="I146" s="1263"/>
    </row>
    <row r="147" spans="1:19">
      <c r="B147" s="855"/>
      <c r="C147" s="824"/>
      <c r="D147" s="824"/>
      <c r="E147" s="1125" t="str">
        <f>+E77</f>
        <v>Date: 03/07/2020</v>
      </c>
      <c r="F147" s="856"/>
      <c r="G147" s="975"/>
      <c r="H147" s="1266"/>
      <c r="I147" s="1263"/>
    </row>
    <row r="148" spans="1:19" s="858" customFormat="1">
      <c r="A148" s="818"/>
      <c r="B148" s="1485" t="s">
        <v>750</v>
      </c>
      <c r="C148" s="1486"/>
      <c r="D148" s="1486"/>
      <c r="E148" s="1486"/>
      <c r="F148" s="1486"/>
      <c r="G148" s="1487"/>
      <c r="H148" s="1276"/>
      <c r="I148" s="1277"/>
      <c r="J148" s="1278"/>
      <c r="K148" s="1278"/>
      <c r="L148" s="1278"/>
      <c r="M148" s="1278"/>
      <c r="N148" s="1278"/>
      <c r="O148" s="1278"/>
      <c r="P148" s="1278"/>
      <c r="Q148" s="1278"/>
      <c r="R148" s="1278"/>
      <c r="S148" s="1278"/>
    </row>
    <row r="149" spans="1:19" ht="15.75" customHeight="1">
      <c r="B149" s="1488" t="s">
        <v>1806</v>
      </c>
      <c r="C149" s="1489"/>
      <c r="D149" s="1489"/>
      <c r="E149" s="1489"/>
      <c r="F149" s="1489"/>
      <c r="G149" s="1490"/>
      <c r="H149" s="1272"/>
      <c r="I149" s="1279"/>
    </row>
    <row r="150" spans="1:19">
      <c r="B150" s="883" t="s">
        <v>749</v>
      </c>
      <c r="C150" s="884"/>
      <c r="D150" s="884"/>
      <c r="E150" s="884"/>
      <c r="F150" s="884"/>
      <c r="G150" s="1026"/>
      <c r="H150" s="1280"/>
      <c r="I150" s="1281"/>
    </row>
    <row r="151" spans="1:19">
      <c r="B151" s="1126" t="s">
        <v>546</v>
      </c>
      <c r="C151" s="886"/>
      <c r="D151" s="886"/>
      <c r="E151" s="887"/>
      <c r="F151" s="1115" t="s">
        <v>2008</v>
      </c>
      <c r="G151" s="1115" t="s">
        <v>2008</v>
      </c>
      <c r="H151" s="1266"/>
      <c r="I151" s="1263"/>
    </row>
    <row r="152" spans="1:19">
      <c r="B152" s="888"/>
      <c r="C152" s="889"/>
      <c r="D152" s="889"/>
      <c r="E152" s="890"/>
      <c r="F152" s="825" t="s">
        <v>2004</v>
      </c>
      <c r="G152" s="825" t="s">
        <v>2005</v>
      </c>
      <c r="H152" s="1266"/>
      <c r="I152" s="1263"/>
    </row>
    <row r="153" spans="1:19">
      <c r="B153" s="891" t="s">
        <v>833</v>
      </c>
      <c r="C153" s="892"/>
      <c r="D153" s="892"/>
      <c r="E153" s="892"/>
      <c r="F153" s="893"/>
      <c r="G153" s="1127"/>
      <c r="H153" s="1266"/>
      <c r="I153" s="1263"/>
    </row>
    <row r="154" spans="1:19">
      <c r="B154" s="853" t="s">
        <v>834</v>
      </c>
      <c r="C154" s="894"/>
      <c r="D154" s="894"/>
      <c r="E154" s="818"/>
      <c r="F154" s="1128">
        <f>+G156</f>
        <v>26922650</v>
      </c>
      <c r="G154" s="1129">
        <v>26922650</v>
      </c>
      <c r="H154" s="1266"/>
      <c r="I154" s="1263"/>
    </row>
    <row r="155" spans="1:19">
      <c r="B155" s="853" t="s">
        <v>835</v>
      </c>
      <c r="C155" s="894"/>
      <c r="D155" s="894"/>
      <c r="E155" s="818"/>
      <c r="F155" s="926">
        <v>0</v>
      </c>
      <c r="G155" s="1336">
        <v>0</v>
      </c>
      <c r="H155" s="1266"/>
      <c r="I155" s="1263"/>
    </row>
    <row r="156" spans="1:19" ht="19.5" thickBot="1">
      <c r="B156" s="896" t="s">
        <v>10</v>
      </c>
      <c r="C156" s="894"/>
      <c r="D156" s="894"/>
      <c r="E156" s="818"/>
      <c r="F156" s="897">
        <f>+SUM(F154:F155)</f>
        <v>26922650</v>
      </c>
      <c r="G156" s="1130">
        <v>26922650</v>
      </c>
      <c r="H156" s="1266"/>
      <c r="I156" s="1263"/>
    </row>
    <row r="157" spans="1:19" ht="19.5" thickTop="1">
      <c r="B157" s="896"/>
      <c r="C157" s="894"/>
      <c r="D157" s="894"/>
      <c r="E157" s="818"/>
      <c r="F157" s="895"/>
      <c r="G157" s="909"/>
      <c r="H157" s="1266"/>
      <c r="I157" s="1263"/>
    </row>
    <row r="158" spans="1:19">
      <c r="B158" s="899" t="s">
        <v>836</v>
      </c>
      <c r="C158" s="894"/>
      <c r="D158" s="894"/>
      <c r="E158" s="894"/>
      <c r="F158" s="900"/>
      <c r="G158" s="911"/>
      <c r="H158" s="1266"/>
      <c r="I158" s="1263"/>
    </row>
    <row r="159" spans="1:19">
      <c r="B159" s="902" t="s">
        <v>598</v>
      </c>
      <c r="C159" s="894"/>
      <c r="D159" s="894"/>
      <c r="E159" s="894"/>
      <c r="F159" s="900"/>
      <c r="G159" s="911"/>
      <c r="H159" s="1266"/>
      <c r="I159" s="1263"/>
    </row>
    <row r="160" spans="1:19">
      <c r="B160" s="852" t="s">
        <v>834</v>
      </c>
      <c r="C160" s="903"/>
      <c r="D160" s="903"/>
      <c r="E160" s="894"/>
      <c r="F160" s="901">
        <f>+G164</f>
        <v>20413989</v>
      </c>
      <c r="G160" s="911">
        <v>20413989</v>
      </c>
      <c r="H160" s="1266"/>
      <c r="I160" s="1263"/>
    </row>
    <row r="161" spans="2:9">
      <c r="B161" s="904" t="s">
        <v>837</v>
      </c>
      <c r="C161" s="894"/>
      <c r="D161" s="894"/>
      <c r="E161" s="894"/>
      <c r="F161" s="1337">
        <v>0</v>
      </c>
      <c r="G161" s="910">
        <v>0</v>
      </c>
      <c r="H161" s="1266"/>
      <c r="I161" s="1263"/>
    </row>
    <row r="162" spans="2:9">
      <c r="B162" s="904" t="s">
        <v>838</v>
      </c>
      <c r="C162" s="894"/>
      <c r="D162" s="894"/>
      <c r="E162" s="894"/>
      <c r="F162" s="901">
        <f>+F160+F161</f>
        <v>20413989</v>
      </c>
      <c r="G162" s="911">
        <v>20413989</v>
      </c>
      <c r="H162" s="1266"/>
      <c r="I162" s="1263"/>
    </row>
    <row r="163" spans="2:9">
      <c r="B163" s="904" t="s">
        <v>839</v>
      </c>
      <c r="C163" s="894"/>
      <c r="D163" s="894"/>
      <c r="E163" s="894"/>
      <c r="F163" s="913">
        <v>0</v>
      </c>
      <c r="G163" s="911">
        <v>0</v>
      </c>
      <c r="H163" s="1266"/>
      <c r="I163" s="1263"/>
    </row>
    <row r="164" spans="2:9">
      <c r="B164" s="906" t="s">
        <v>10</v>
      </c>
      <c r="C164" s="907"/>
      <c r="D164" s="907"/>
      <c r="E164" s="907"/>
      <c r="F164" s="1131">
        <f>+F162+F163</f>
        <v>20413989</v>
      </c>
      <c r="G164" s="1132">
        <v>20413989</v>
      </c>
      <c r="H164" s="1266"/>
      <c r="I164" s="1263"/>
    </row>
    <row r="165" spans="2:9">
      <c r="B165" s="906" t="s">
        <v>719</v>
      </c>
      <c r="C165" s="894"/>
      <c r="D165" s="894"/>
      <c r="E165" s="894"/>
      <c r="F165" s="900"/>
      <c r="G165" s="911"/>
      <c r="H165" s="1266"/>
      <c r="I165" s="1263"/>
    </row>
    <row r="166" spans="2:9">
      <c r="B166" s="906"/>
      <c r="C166" s="818"/>
      <c r="D166" s="818"/>
      <c r="E166" s="894"/>
      <c r="F166" s="900"/>
      <c r="G166" s="911"/>
      <c r="H166" s="1266"/>
      <c r="I166" s="1263"/>
    </row>
    <row r="167" spans="2:9">
      <c r="B167" s="852" t="s">
        <v>834</v>
      </c>
      <c r="C167" s="894"/>
      <c r="D167" s="894"/>
      <c r="E167" s="894"/>
      <c r="F167" s="908">
        <f>+G171</f>
        <v>8664946</v>
      </c>
      <c r="G167" s="911">
        <v>8664946</v>
      </c>
      <c r="H167" s="1266"/>
      <c r="I167" s="1263"/>
    </row>
    <row r="168" spans="2:9">
      <c r="B168" s="904" t="s">
        <v>837</v>
      </c>
      <c r="C168" s="894"/>
      <c r="D168" s="894"/>
      <c r="E168" s="894"/>
      <c r="F168" s="1337">
        <v>0</v>
      </c>
      <c r="G168" s="910">
        <v>0</v>
      </c>
      <c r="H168" s="1266"/>
      <c r="I168" s="1263"/>
    </row>
    <row r="169" spans="2:9">
      <c r="B169" s="904" t="s">
        <v>838</v>
      </c>
      <c r="C169" s="894"/>
      <c r="D169" s="894"/>
      <c r="E169" s="894"/>
      <c r="F169" s="901">
        <f>+F167+F168</f>
        <v>8664946</v>
      </c>
      <c r="G169" s="911">
        <v>8664946</v>
      </c>
      <c r="H169" s="1266"/>
      <c r="I169" s="1263"/>
    </row>
    <row r="170" spans="2:9">
      <c r="B170" s="904" t="s">
        <v>839</v>
      </c>
      <c r="C170" s="894"/>
      <c r="D170" s="894"/>
      <c r="E170" s="894"/>
      <c r="F170" s="913">
        <v>0</v>
      </c>
      <c r="G170" s="911">
        <v>0</v>
      </c>
      <c r="H170" s="1266"/>
      <c r="I170" s="1263"/>
    </row>
    <row r="171" spans="2:9">
      <c r="B171" s="906" t="s">
        <v>10</v>
      </c>
      <c r="C171" s="894"/>
      <c r="D171" s="894"/>
      <c r="E171" s="894"/>
      <c r="F171" s="1131">
        <f>+F169+F170</f>
        <v>8664946</v>
      </c>
      <c r="G171" s="1132">
        <v>8664946</v>
      </c>
      <c r="H171" s="1266"/>
      <c r="I171" s="1263"/>
    </row>
    <row r="172" spans="2:9">
      <c r="B172" s="906" t="s">
        <v>137</v>
      </c>
      <c r="C172" s="894"/>
      <c r="D172" s="894"/>
      <c r="E172" s="894"/>
      <c r="F172" s="900"/>
      <c r="G172" s="911"/>
      <c r="H172" s="1266"/>
      <c r="I172" s="1263"/>
    </row>
    <row r="173" spans="2:9">
      <c r="B173" s="852" t="s">
        <v>834</v>
      </c>
      <c r="C173" s="894"/>
      <c r="D173" s="894"/>
      <c r="E173" s="894"/>
      <c r="F173" s="901">
        <f>+G175</f>
        <v>1800000</v>
      </c>
      <c r="G173" s="911">
        <v>1800000</v>
      </c>
      <c r="H173" s="1266"/>
      <c r="I173" s="1263"/>
    </row>
    <row r="174" spans="2:9">
      <c r="B174" s="904" t="s">
        <v>837</v>
      </c>
      <c r="C174" s="894"/>
      <c r="D174" s="894"/>
      <c r="E174" s="894"/>
      <c r="F174" s="1337">
        <v>0</v>
      </c>
      <c r="G174" s="910">
        <v>0</v>
      </c>
      <c r="H174" s="1266"/>
      <c r="I174" s="1263"/>
    </row>
    <row r="175" spans="2:9">
      <c r="B175" s="904" t="s">
        <v>838</v>
      </c>
      <c r="C175" s="894"/>
      <c r="D175" s="894"/>
      <c r="E175" s="894"/>
      <c r="F175" s="901">
        <f>+F173+F174</f>
        <v>1800000</v>
      </c>
      <c r="G175" s="911">
        <v>1800000</v>
      </c>
      <c r="H175" s="1266"/>
      <c r="I175" s="1263"/>
    </row>
    <row r="176" spans="2:9">
      <c r="B176" s="904" t="s">
        <v>839</v>
      </c>
      <c r="C176" s="894"/>
      <c r="D176" s="894"/>
      <c r="E176" s="894"/>
      <c r="F176" s="913">
        <v>0</v>
      </c>
      <c r="G176" s="911">
        <v>0</v>
      </c>
      <c r="H176" s="1266"/>
      <c r="I176" s="1263"/>
    </row>
    <row r="177" spans="2:9">
      <c r="B177" s="896" t="s">
        <v>10</v>
      </c>
      <c r="C177" s="894"/>
      <c r="D177" s="894"/>
      <c r="E177" s="894"/>
      <c r="F177" s="1132">
        <f>+F175+F176</f>
        <v>1800000</v>
      </c>
      <c r="G177" s="1132">
        <v>1800000</v>
      </c>
      <c r="H177" s="1266"/>
      <c r="I177" s="1263"/>
    </row>
    <row r="178" spans="2:9">
      <c r="B178" s="906" t="s">
        <v>840</v>
      </c>
      <c r="C178" s="894"/>
      <c r="D178" s="894"/>
      <c r="E178" s="894"/>
      <c r="F178" s="900"/>
      <c r="G178" s="909"/>
      <c r="H178" s="1266"/>
      <c r="I178" s="1263"/>
    </row>
    <row r="179" spans="2:9">
      <c r="B179" s="896" t="s">
        <v>834</v>
      </c>
      <c r="C179" s="894"/>
      <c r="D179" s="894"/>
      <c r="E179" s="894"/>
      <c r="F179" s="898">
        <f>+G184</f>
        <v>50905005</v>
      </c>
      <c r="G179" s="909">
        <f>50905008-3</f>
        <v>50905005</v>
      </c>
      <c r="H179" s="1266"/>
      <c r="I179" s="1263"/>
    </row>
    <row r="180" spans="2:9">
      <c r="B180" s="896" t="s">
        <v>841</v>
      </c>
      <c r="C180" s="894"/>
      <c r="D180" s="894"/>
      <c r="E180" s="894"/>
      <c r="F180" s="911">
        <v>0</v>
      </c>
      <c r="G180" s="911">
        <v>0</v>
      </c>
      <c r="H180" s="1266"/>
      <c r="I180" s="1263"/>
    </row>
    <row r="181" spans="2:9">
      <c r="B181" s="896" t="s">
        <v>842</v>
      </c>
      <c r="C181" s="894"/>
      <c r="D181" s="894"/>
      <c r="E181" s="894"/>
      <c r="F181" s="910">
        <v>0</v>
      </c>
      <c r="G181" s="910">
        <v>0</v>
      </c>
      <c r="H181" s="1266"/>
      <c r="I181" s="1263"/>
    </row>
    <row r="182" spans="2:9">
      <c r="B182" s="896" t="s">
        <v>838</v>
      </c>
      <c r="C182" s="894"/>
      <c r="D182" s="894"/>
      <c r="E182" s="894"/>
      <c r="F182" s="909">
        <f>+F179+F180+F181</f>
        <v>50905005</v>
      </c>
      <c r="G182" s="909">
        <f>+G179+G180+G181</f>
        <v>50905005</v>
      </c>
      <c r="H182" s="1266"/>
      <c r="I182" s="1263"/>
    </row>
    <row r="183" spans="2:9">
      <c r="B183" s="896" t="s">
        <v>839</v>
      </c>
      <c r="C183" s="894"/>
      <c r="D183" s="894"/>
      <c r="E183" s="894"/>
      <c r="F183" s="911">
        <v>0</v>
      </c>
      <c r="G183" s="911">
        <v>0</v>
      </c>
      <c r="H183" s="1266"/>
      <c r="I183" s="1263"/>
    </row>
    <row r="184" spans="2:9">
      <c r="B184" s="896" t="s">
        <v>10</v>
      </c>
      <c r="C184" s="894"/>
      <c r="D184" s="894"/>
      <c r="E184" s="894"/>
      <c r="F184" s="1132">
        <f>+F182+F183</f>
        <v>50905005</v>
      </c>
      <c r="G184" s="1132">
        <f>+G182+G183</f>
        <v>50905005</v>
      </c>
      <c r="H184" s="1266"/>
      <c r="I184" s="1263"/>
    </row>
    <row r="185" spans="2:9">
      <c r="B185" s="906" t="s">
        <v>843</v>
      </c>
      <c r="C185" s="894"/>
      <c r="D185" s="894"/>
      <c r="E185" s="894"/>
      <c r="F185" s="900"/>
      <c r="G185" s="911"/>
      <c r="H185" s="1266"/>
      <c r="I185" s="1263"/>
    </row>
    <row r="186" spans="2:9">
      <c r="B186" s="852" t="s">
        <v>834</v>
      </c>
      <c r="C186" s="894"/>
      <c r="D186" s="894"/>
      <c r="E186" s="894"/>
      <c r="F186" s="908">
        <f>+G197</f>
        <v>112979368.26913197</v>
      </c>
      <c r="G186" s="911">
        <v>54521566</v>
      </c>
      <c r="H186" s="1266"/>
      <c r="I186" s="1263"/>
    </row>
    <row r="187" spans="2:9">
      <c r="B187" s="904" t="s">
        <v>837</v>
      </c>
      <c r="C187" s="894"/>
      <c r="D187" s="894"/>
      <c r="E187" s="894"/>
      <c r="F187" s="913">
        <v>0</v>
      </c>
      <c r="G187" s="910">
        <v>0</v>
      </c>
      <c r="H187" s="1266"/>
      <c r="I187" s="1263"/>
    </row>
    <row r="188" spans="2:9">
      <c r="B188" s="904" t="s">
        <v>838</v>
      </c>
      <c r="C188" s="894"/>
      <c r="D188" s="894"/>
      <c r="E188" s="894"/>
      <c r="F188" s="1133">
        <f>+F186+F187</f>
        <v>112979368.26913197</v>
      </c>
      <c r="G188" s="1133">
        <f>+G186+G187</f>
        <v>54521566</v>
      </c>
      <c r="H188" s="1266"/>
      <c r="I188" s="1263"/>
    </row>
    <row r="189" spans="2:9">
      <c r="B189" s="904" t="s">
        <v>844</v>
      </c>
      <c r="C189" s="894"/>
      <c r="D189" s="894"/>
      <c r="E189" s="894"/>
      <c r="F189" s="901">
        <f>+F103</f>
        <v>11392078.888766242</v>
      </c>
      <c r="G189" s="911">
        <f>+G103</f>
        <v>58993360.269131973</v>
      </c>
      <c r="H189" s="1266"/>
      <c r="I189" s="1263"/>
    </row>
    <row r="190" spans="2:9">
      <c r="B190" s="904" t="s">
        <v>845</v>
      </c>
      <c r="C190" s="894"/>
      <c r="D190" s="894"/>
      <c r="E190" s="894"/>
      <c r="F190" s="905">
        <f>+F110</f>
        <v>-186251</v>
      </c>
      <c r="G190" s="910">
        <f>+G110</f>
        <v>-535558</v>
      </c>
      <c r="H190" s="1266"/>
      <c r="I190" s="1263"/>
    </row>
    <row r="191" spans="2:9">
      <c r="B191" s="904" t="s">
        <v>846</v>
      </c>
      <c r="C191" s="894"/>
      <c r="D191" s="894"/>
      <c r="E191" s="894"/>
      <c r="F191" s="901">
        <f>+F189+F190</f>
        <v>11205827.888766242</v>
      </c>
      <c r="G191" s="911">
        <f>+G189+G190</f>
        <v>58457802.269131973</v>
      </c>
      <c r="H191" s="1266"/>
      <c r="I191" s="1263"/>
    </row>
    <row r="192" spans="2:9">
      <c r="B192" s="912" t="s">
        <v>847</v>
      </c>
      <c r="C192" s="894"/>
      <c r="D192" s="894"/>
      <c r="E192" s="894"/>
      <c r="F192" s="900"/>
      <c r="G192" s="911"/>
      <c r="H192" s="1266"/>
      <c r="I192" s="1263"/>
    </row>
    <row r="193" spans="2:9" hidden="1">
      <c r="B193" s="904" t="s">
        <v>848</v>
      </c>
      <c r="C193" s="894"/>
      <c r="D193" s="894"/>
      <c r="E193" s="894"/>
      <c r="F193" s="900"/>
      <c r="G193" s="911">
        <v>0</v>
      </c>
      <c r="H193" s="1266"/>
      <c r="I193" s="1263"/>
    </row>
    <row r="194" spans="2:9">
      <c r="B194" s="904" t="s">
        <v>849</v>
      </c>
      <c r="C194" s="894"/>
      <c r="D194" s="894"/>
      <c r="E194" s="894"/>
      <c r="F194" s="913">
        <v>0</v>
      </c>
      <c r="G194" s="913">
        <v>0</v>
      </c>
      <c r="H194" s="1266"/>
      <c r="I194" s="1263"/>
    </row>
    <row r="195" spans="2:9" hidden="1">
      <c r="B195" s="904" t="s">
        <v>850</v>
      </c>
      <c r="C195" s="894"/>
      <c r="D195" s="894"/>
      <c r="E195" s="894"/>
      <c r="F195" s="913"/>
      <c r="G195" s="913">
        <v>0</v>
      </c>
      <c r="H195" s="1266"/>
      <c r="I195" s="1263"/>
    </row>
    <row r="196" spans="2:9">
      <c r="B196" s="904" t="s">
        <v>839</v>
      </c>
      <c r="C196" s="894"/>
      <c r="D196" s="894"/>
      <c r="E196" s="894"/>
      <c r="F196" s="913">
        <v>0</v>
      </c>
      <c r="G196" s="913">
        <v>0</v>
      </c>
      <c r="H196" s="1266"/>
      <c r="I196" s="1263"/>
    </row>
    <row r="197" spans="2:9">
      <c r="B197" s="896" t="s">
        <v>10</v>
      </c>
      <c r="C197" s="894"/>
      <c r="D197" s="894"/>
      <c r="E197" s="894"/>
      <c r="F197" s="1134">
        <f>+F188+F191-SUM(F194:F196)</f>
        <v>124185196.15789822</v>
      </c>
      <c r="G197" s="1135">
        <f>+G188+G191-SUM(G194:G196)</f>
        <v>112979368.26913197</v>
      </c>
      <c r="H197" s="1266"/>
      <c r="I197" s="1263"/>
    </row>
    <row r="198" spans="2:9">
      <c r="B198" s="914"/>
      <c r="C198" s="915"/>
      <c r="D198" s="915"/>
      <c r="E198" s="915"/>
      <c r="F198" s="1136">
        <f>F197+F177+F171+F164+F184</f>
        <v>205969136.15789822</v>
      </c>
      <c r="G198" s="1136">
        <f>G197+G177+G171+G164+G184</f>
        <v>194763308.26913196</v>
      </c>
      <c r="H198" s="1266"/>
      <c r="I198" s="1263"/>
    </row>
    <row r="199" spans="2:9">
      <c r="B199" s="896"/>
      <c r="C199" s="894"/>
      <c r="D199" s="894"/>
      <c r="E199" s="894"/>
      <c r="F199" s="916"/>
      <c r="G199" s="1137"/>
      <c r="H199" s="1266"/>
      <c r="I199" s="1263"/>
    </row>
    <row r="200" spans="2:9">
      <c r="B200" s="1173"/>
      <c r="C200" s="1174"/>
      <c r="D200" s="1174"/>
      <c r="E200" s="1174"/>
      <c r="F200" s="917"/>
      <c r="G200" s="1138"/>
      <c r="H200" s="1282"/>
      <c r="I200" s="1283"/>
    </row>
    <row r="201" spans="2:9">
      <c r="B201" s="1173"/>
      <c r="C201" s="1174"/>
      <c r="D201" s="1174"/>
      <c r="E201" s="1174"/>
      <c r="F201" s="917"/>
      <c r="G201" s="1138"/>
      <c r="H201" s="1282"/>
      <c r="I201" s="1283"/>
    </row>
    <row r="202" spans="2:9">
      <c r="B202" s="846" t="s">
        <v>791</v>
      </c>
      <c r="C202" s="820"/>
      <c r="D202" s="820"/>
      <c r="E202" s="820" t="s">
        <v>792</v>
      </c>
      <c r="F202" s="820"/>
      <c r="G202" s="973"/>
      <c r="I202" s="1284"/>
    </row>
    <row r="203" spans="2:9">
      <c r="B203" s="846"/>
      <c r="C203" s="820"/>
      <c r="D203" s="820"/>
      <c r="E203" s="820"/>
      <c r="F203" s="820"/>
      <c r="G203" s="973"/>
      <c r="I203" s="1284"/>
    </row>
    <row r="204" spans="2:9">
      <c r="B204" s="848" t="s">
        <v>793</v>
      </c>
      <c r="C204" s="820"/>
      <c r="D204" s="820"/>
      <c r="E204" s="820"/>
      <c r="F204" s="820"/>
      <c r="G204" s="973"/>
      <c r="H204" s="1270"/>
      <c r="I204" s="1284"/>
    </row>
    <row r="205" spans="2:9">
      <c r="B205" s="848" t="s">
        <v>794</v>
      </c>
      <c r="C205" s="820"/>
      <c r="D205" s="820"/>
      <c r="E205" s="820"/>
      <c r="F205" s="820"/>
      <c r="G205" s="973"/>
      <c r="H205" s="1270"/>
      <c r="I205" s="1284"/>
    </row>
    <row r="206" spans="2:9">
      <c r="B206" s="848" t="s">
        <v>795</v>
      </c>
      <c r="C206" s="820"/>
      <c r="D206" s="820"/>
      <c r="E206" s="850" t="str">
        <f>+E124</f>
        <v>KAILASH AGARWAL - MANAGING DIRECTOR</v>
      </c>
      <c r="F206" s="850"/>
      <c r="G206" s="973"/>
      <c r="H206" s="1270"/>
      <c r="I206" s="1284"/>
    </row>
    <row r="207" spans="2:9">
      <c r="B207" s="848"/>
      <c r="C207" s="820"/>
      <c r="D207" s="820"/>
      <c r="E207" s="818" t="s">
        <v>797</v>
      </c>
      <c r="F207" s="818"/>
      <c r="G207" s="973"/>
      <c r="H207" s="1271"/>
      <c r="I207" s="1284"/>
    </row>
    <row r="208" spans="2:9">
      <c r="B208" s="848"/>
      <c r="C208" s="820"/>
      <c r="D208" s="820"/>
      <c r="E208" s="818"/>
      <c r="F208" s="818"/>
      <c r="G208" s="973"/>
      <c r="H208" s="1271"/>
      <c r="I208" s="1284"/>
    </row>
    <row r="209" spans="2:9">
      <c r="B209" s="848"/>
      <c r="C209" s="820"/>
      <c r="D209" s="820"/>
      <c r="E209" s="818"/>
      <c r="F209" s="818"/>
      <c r="G209" s="973"/>
      <c r="H209" s="1271"/>
      <c r="I209" s="1284"/>
    </row>
    <row r="210" spans="2:9">
      <c r="B210" s="848" t="s">
        <v>798</v>
      </c>
      <c r="C210" s="820"/>
      <c r="D210" s="820"/>
      <c r="E210" s="850" t="str">
        <f>+E129</f>
        <v>ANIL KUMAR LAKHOTIYA - JT MANAGING  DIRECTOR</v>
      </c>
      <c r="F210" s="850"/>
      <c r="G210" s="973"/>
      <c r="H210" s="1270"/>
      <c r="I210" s="1284"/>
    </row>
    <row r="211" spans="2:9">
      <c r="B211" s="848" t="s">
        <v>800</v>
      </c>
      <c r="C211" s="820"/>
      <c r="D211" s="820"/>
      <c r="E211" s="818" t="s">
        <v>801</v>
      </c>
      <c r="F211" s="818"/>
      <c r="G211" s="973"/>
      <c r="H211" s="1270"/>
      <c r="I211" s="1284"/>
    </row>
    <row r="212" spans="2:9">
      <c r="B212" s="852" t="s">
        <v>802</v>
      </c>
      <c r="C212" s="820"/>
      <c r="D212" s="820"/>
      <c r="E212" s="820"/>
      <c r="F212" s="820"/>
      <c r="G212" s="973"/>
      <c r="H212" s="1270"/>
      <c r="I212" s="1284"/>
    </row>
    <row r="213" spans="2:9">
      <c r="B213" s="853" t="s">
        <v>803</v>
      </c>
      <c r="C213" s="820"/>
      <c r="D213" s="820"/>
      <c r="E213" s="820"/>
      <c r="F213" s="820"/>
      <c r="G213" s="973"/>
      <c r="H213" s="1271"/>
      <c r="I213" s="1284"/>
    </row>
    <row r="214" spans="2:9" ht="36" customHeight="1">
      <c r="B214" s="853" t="str">
        <f>+B133</f>
        <v>Date: 03/07/2020</v>
      </c>
      <c r="C214" s="820"/>
      <c r="D214" s="820"/>
      <c r="E214" s="1401" t="str">
        <f>+E133</f>
        <v>JARNAIL SINGH SAINI - CHIEF FINANCIAL OFFICER &amp; EXECUTIVE DIRECTOR</v>
      </c>
      <c r="F214" s="1401"/>
      <c r="G214" s="1402"/>
      <c r="H214" s="1270"/>
      <c r="I214" s="1284"/>
    </row>
    <row r="215" spans="2:9">
      <c r="B215" s="852" t="s">
        <v>2007</v>
      </c>
      <c r="C215" s="820"/>
      <c r="D215" s="820"/>
      <c r="E215" s="818" t="s">
        <v>804</v>
      </c>
      <c r="F215" s="818"/>
      <c r="G215" s="973"/>
      <c r="H215" s="1271"/>
      <c r="I215" s="1284"/>
    </row>
    <row r="216" spans="2:9">
      <c r="B216" s="852"/>
      <c r="C216" s="820"/>
      <c r="D216" s="820"/>
      <c r="E216" s="818"/>
      <c r="F216" s="818"/>
      <c r="G216" s="973"/>
      <c r="H216" s="1271"/>
      <c r="I216" s="1284"/>
    </row>
    <row r="217" spans="2:9">
      <c r="B217" s="852"/>
      <c r="C217" s="820"/>
      <c r="D217" s="820"/>
      <c r="E217" s="818"/>
      <c r="F217" s="818"/>
      <c r="G217" s="973"/>
      <c r="H217" s="1271"/>
      <c r="I217" s="1284"/>
    </row>
    <row r="218" spans="2:9">
      <c r="B218" s="852"/>
      <c r="C218" s="820"/>
      <c r="D218" s="820"/>
      <c r="E218" s="818"/>
      <c r="F218" s="818"/>
      <c r="G218" s="973"/>
      <c r="H218" s="1271"/>
      <c r="I218" s="1284"/>
    </row>
    <row r="219" spans="2:9">
      <c r="B219" s="852"/>
      <c r="C219" s="820"/>
      <c r="D219" s="820"/>
      <c r="E219" s="850" t="str">
        <f>+E138</f>
        <v>OMPRAKASH RATHI - EXECUTIVE DIRECTOR</v>
      </c>
      <c r="F219" s="850"/>
      <c r="G219" s="973"/>
      <c r="H219" s="1271"/>
      <c r="I219" s="1284"/>
    </row>
    <row r="220" spans="2:9">
      <c r="B220" s="852"/>
      <c r="C220" s="820"/>
      <c r="D220" s="820"/>
      <c r="E220" s="854" t="s">
        <v>805</v>
      </c>
      <c r="F220" s="854"/>
      <c r="G220" s="973"/>
      <c r="H220" s="1271"/>
      <c r="I220" s="1284"/>
    </row>
    <row r="221" spans="2:9">
      <c r="B221" s="852"/>
      <c r="C221" s="820"/>
      <c r="D221" s="820"/>
      <c r="E221" s="854"/>
      <c r="F221" s="854"/>
      <c r="G221" s="973"/>
      <c r="H221" s="1271"/>
      <c r="I221" s="1284"/>
    </row>
    <row r="222" spans="2:9">
      <c r="B222" s="852"/>
      <c r="C222" s="820"/>
      <c r="D222" s="820"/>
      <c r="E222" s="854"/>
      <c r="F222" s="854"/>
      <c r="G222" s="973"/>
      <c r="H222" s="1271"/>
      <c r="I222" s="1284"/>
    </row>
    <row r="223" spans="2:9">
      <c r="B223" s="852"/>
      <c r="C223" s="820"/>
      <c r="D223" s="820"/>
      <c r="E223" s="854"/>
      <c r="F223" s="854"/>
      <c r="G223" s="973"/>
      <c r="H223" s="1271"/>
      <c r="I223" s="1284"/>
    </row>
    <row r="224" spans="2:9">
      <c r="B224" s="852"/>
      <c r="C224" s="820"/>
      <c r="D224" s="820"/>
      <c r="E224" s="850" t="str">
        <f>+E143</f>
        <v>MAYANK LUNIYA - COMPANY SECRETARY</v>
      </c>
      <c r="F224" s="850"/>
      <c r="G224" s="973"/>
      <c r="H224" s="1271"/>
      <c r="I224" s="1284"/>
    </row>
    <row r="225" spans="2:19">
      <c r="B225" s="852"/>
      <c r="C225" s="820"/>
      <c r="D225" s="820"/>
      <c r="E225" s="854"/>
      <c r="F225" s="854"/>
      <c r="G225" s="973"/>
      <c r="H225" s="1271"/>
      <c r="I225" s="1284"/>
    </row>
    <row r="226" spans="2:19">
      <c r="B226" s="852"/>
      <c r="C226" s="820"/>
      <c r="D226" s="820"/>
      <c r="E226" s="854" t="s">
        <v>803</v>
      </c>
      <c r="F226" s="854"/>
      <c r="G226" s="973"/>
      <c r="H226" s="1271"/>
      <c r="I226" s="1284"/>
    </row>
    <row r="227" spans="2:19">
      <c r="B227" s="888"/>
      <c r="C227" s="856"/>
      <c r="D227" s="856"/>
      <c r="E227" s="1125" t="str">
        <f>+E147</f>
        <v>Date: 03/07/2020</v>
      </c>
      <c r="F227" s="919"/>
      <c r="G227" s="975"/>
      <c r="H227" s="1271"/>
      <c r="I227" s="1284"/>
    </row>
    <row r="228" spans="2:19">
      <c r="B228" s="1425" t="s">
        <v>750</v>
      </c>
      <c r="C228" s="1426"/>
      <c r="D228" s="1426"/>
      <c r="E228" s="1426"/>
      <c r="F228" s="1426"/>
      <c r="G228" s="1427"/>
      <c r="H228" s="1264"/>
      <c r="I228" s="1285"/>
    </row>
    <row r="229" spans="2:19">
      <c r="B229" s="1428" t="s">
        <v>1299</v>
      </c>
      <c r="C229" s="1429"/>
      <c r="D229" s="1429"/>
      <c r="E229" s="1429"/>
      <c r="F229" s="1429"/>
      <c r="G229" s="1430"/>
      <c r="H229" s="1264"/>
      <c r="I229" s="1285"/>
    </row>
    <row r="230" spans="2:19">
      <c r="B230" s="1126" t="s">
        <v>546</v>
      </c>
      <c r="C230" s="886"/>
      <c r="D230" s="886"/>
      <c r="E230" s="1139"/>
      <c r="F230" s="1180" t="s">
        <v>2003</v>
      </c>
      <c r="G230" s="1180" t="s">
        <v>2002</v>
      </c>
      <c r="H230" s="1266"/>
      <c r="I230" s="1263"/>
    </row>
    <row r="231" spans="2:19">
      <c r="B231" s="888"/>
      <c r="C231" s="889"/>
      <c r="D231" s="889"/>
      <c r="E231" s="920"/>
      <c r="F231" s="825" t="s">
        <v>2004</v>
      </c>
      <c r="G231" s="825" t="s">
        <v>2005</v>
      </c>
      <c r="H231" s="1266"/>
      <c r="I231" s="1263"/>
    </row>
    <row r="232" spans="2:19">
      <c r="B232" s="921" t="s">
        <v>852</v>
      </c>
      <c r="C232" s="922"/>
      <c r="D232" s="922"/>
      <c r="E232" s="923"/>
      <c r="F232" s="923"/>
      <c r="G232" s="833"/>
      <c r="H232" s="1266"/>
      <c r="I232" s="1263"/>
    </row>
    <row r="233" spans="2:19">
      <c r="B233" s="924" t="s">
        <v>853</v>
      </c>
      <c r="C233" s="922"/>
      <c r="D233" s="922"/>
      <c r="E233" s="923"/>
      <c r="F233" s="923"/>
      <c r="G233" s="833"/>
      <c r="H233" s="1266"/>
      <c r="I233" s="1263"/>
    </row>
    <row r="234" spans="2:19" s="849" customFormat="1">
      <c r="B234" s="1446" t="s">
        <v>854</v>
      </c>
      <c r="C234" s="1447"/>
      <c r="D234" s="1447"/>
      <c r="E234" s="1455"/>
      <c r="F234" s="1175"/>
      <c r="G234" s="831"/>
      <c r="H234" s="1264"/>
      <c r="I234" s="1285"/>
      <c r="J234" s="1285"/>
      <c r="K234" s="1285"/>
      <c r="L234" s="1285"/>
      <c r="M234" s="1285"/>
      <c r="N234" s="1285"/>
      <c r="O234" s="1285"/>
      <c r="P234" s="1285"/>
      <c r="Q234" s="1285"/>
      <c r="R234" s="1285"/>
      <c r="S234" s="1285"/>
    </row>
    <row r="235" spans="2:19" s="849" customFormat="1">
      <c r="B235" s="1482" t="s">
        <v>2063</v>
      </c>
      <c r="C235" s="1483"/>
      <c r="D235" s="1483"/>
      <c r="E235" s="1484"/>
      <c r="F235" s="925">
        <f>+GETPIVOTDATA("Sum of DR-March 20",Pivot!$A$3,"Note",13,"BS Main Head","Other Non-Current Assets")</f>
        <v>2213235</v>
      </c>
      <c r="G235" s="831">
        <f>+GETPIVOTDATA("Sum of DR-DEC 19",Pivot!$A$3,"Note",13,"BS Main Head","Other Non-Current Assets")</f>
        <v>2870555</v>
      </c>
      <c r="H235" s="1264"/>
      <c r="I235" s="1285"/>
      <c r="J235" s="1285"/>
      <c r="K235" s="1285"/>
      <c r="L235" s="1285"/>
      <c r="M235" s="1285"/>
      <c r="N235" s="1285"/>
      <c r="O235" s="1285"/>
      <c r="P235" s="1285"/>
      <c r="Q235" s="1285"/>
      <c r="R235" s="1285"/>
      <c r="S235" s="1285"/>
    </row>
    <row r="236" spans="2:19">
      <c r="B236" s="853" t="s">
        <v>855</v>
      </c>
      <c r="C236" s="818"/>
      <c r="D236" s="818"/>
      <c r="E236" s="818"/>
      <c r="F236" s="926"/>
      <c r="G236" s="831"/>
      <c r="H236" s="1264"/>
      <c r="I236" s="1263"/>
    </row>
    <row r="237" spans="2:19" ht="19.5" thickBot="1">
      <c r="B237" s="852"/>
      <c r="C237" s="819"/>
      <c r="D237" s="819"/>
      <c r="E237" s="820"/>
      <c r="F237" s="927">
        <f>+SUM(F234:F236)</f>
        <v>2213235</v>
      </c>
      <c r="G237" s="927">
        <f>+SUM(G234:G236)</f>
        <v>2870555</v>
      </c>
      <c r="H237" s="1266"/>
      <c r="I237" s="1263"/>
    </row>
    <row r="238" spans="2:19" ht="19.5" thickTop="1">
      <c r="B238" s="928"/>
      <c r="C238" s="929"/>
      <c r="D238" s="929"/>
      <c r="E238" s="820"/>
      <c r="F238" s="930"/>
      <c r="G238" s="931"/>
      <c r="H238" s="1266"/>
      <c r="I238" s="1263"/>
    </row>
    <row r="239" spans="2:19">
      <c r="B239" s="921" t="s">
        <v>856</v>
      </c>
      <c r="C239" s="922"/>
      <c r="D239" s="922"/>
      <c r="E239" s="820"/>
      <c r="F239" s="930"/>
      <c r="G239" s="833"/>
      <c r="H239" s="1266"/>
      <c r="I239" s="1263"/>
    </row>
    <row r="240" spans="2:19">
      <c r="B240" s="924" t="s">
        <v>853</v>
      </c>
      <c r="C240" s="922"/>
      <c r="D240" s="922"/>
      <c r="E240" s="820"/>
      <c r="F240" s="930"/>
      <c r="G240" s="833"/>
      <c r="H240" s="1266"/>
      <c r="I240" s="1263"/>
    </row>
    <row r="241" spans="2:19">
      <c r="B241" s="1173" t="s">
        <v>857</v>
      </c>
      <c r="C241" s="1174"/>
      <c r="D241" s="1174"/>
      <c r="E241" s="932"/>
      <c r="F241" s="933">
        <f>+GETPIVOTDATA("Sum of DR-March 20",Pivot!$A$3,"Note",8,"BS Main Head","Long Term Loans &amp; Advances")</f>
        <v>0</v>
      </c>
      <c r="G241" s="831">
        <f>+GETPIVOTDATA("Sum of DR-DEC 19",Pivot!$A$3,"Note",8,"BS Main Head","Long Term Loans &amp; Advances")</f>
        <v>1521769</v>
      </c>
      <c r="H241" s="1264"/>
      <c r="I241" s="1263"/>
    </row>
    <row r="242" spans="2:19">
      <c r="B242" s="1173" t="s">
        <v>622</v>
      </c>
      <c r="C242" s="1174"/>
      <c r="D242" s="1174"/>
      <c r="E242" s="932"/>
      <c r="F242" s="933">
        <f>+GETPIVOTDATA("Sum of DR-March 20",Pivot!$A$3,"Note",12,"BS Main Head","Long Term Loans &amp; Advances","BS Sub Head","Long Term Deposits")</f>
        <v>1601600</v>
      </c>
      <c r="G242" s="831">
        <f>+GETPIVOTDATA("Sum of DR-DEC 19",Pivot!$A$3,"Note",12,"BS Main Head","Long Term Loans &amp; Advances","BS Sub Head","Long Term Deposits")</f>
        <v>1353400</v>
      </c>
      <c r="H242" s="1264"/>
      <c r="I242" s="1263"/>
    </row>
    <row r="243" spans="2:19">
      <c r="B243" s="852" t="s">
        <v>616</v>
      </c>
      <c r="C243" s="819"/>
      <c r="D243" s="819"/>
      <c r="E243" s="822"/>
      <c r="F243" s="934">
        <f>+GETPIVOTDATA("Sum of DR-March 20",Pivot!$A$3,"Note",12,"BS Main Head","Long Term Loans &amp; Advances","BS Sub Head","Balance with Government Authorities")-F281</f>
        <v>4775641</v>
      </c>
      <c r="G243" s="831">
        <f>+GETPIVOTDATA("Sum of DR-DEC 19",Pivot!$A$3,"Note",12,"BS Main Head","Long Term Loans &amp; Advances","BS Sub Head","Balance with Government Authorities")-G282-G281</f>
        <v>2799620.3599999994</v>
      </c>
      <c r="H243" s="1264"/>
      <c r="I243" s="1263"/>
      <c r="O243" s="1354">
        <f>+GETPIVOTDATA("Sum of DR-March 20",Pivot!$A$3,"Note",12,"BS Main Head","Long Term Loans &amp; Advances","BS Sub Head","Balance with Government Authorities")</f>
        <v>12216191</v>
      </c>
    </row>
    <row r="244" spans="2:19">
      <c r="B244" s="852"/>
      <c r="C244" s="819"/>
      <c r="D244" s="819"/>
      <c r="E244" s="820"/>
      <c r="F244" s="1110">
        <f>+SUM(F241:F243)</f>
        <v>6377241</v>
      </c>
      <c r="G244" s="1110">
        <f>+SUM(G241:G243)</f>
        <v>5674789.3599999994</v>
      </c>
      <c r="H244" s="1266"/>
      <c r="I244" s="1263"/>
    </row>
    <row r="245" spans="2:19">
      <c r="B245" s="853"/>
      <c r="C245" s="818"/>
      <c r="D245" s="818"/>
      <c r="E245" s="818"/>
      <c r="F245" s="895"/>
      <c r="G245" s="1140"/>
      <c r="H245" s="1266"/>
      <c r="I245" s="1263"/>
    </row>
    <row r="246" spans="2:19">
      <c r="B246" s="921" t="s">
        <v>858</v>
      </c>
      <c r="C246" s="922"/>
      <c r="D246" s="922"/>
      <c r="E246" s="820"/>
      <c r="F246" s="930"/>
      <c r="G246" s="833"/>
      <c r="H246" s="1266"/>
      <c r="I246" s="1263"/>
    </row>
    <row r="247" spans="2:19">
      <c r="B247" s="935" t="s">
        <v>859</v>
      </c>
      <c r="C247" s="936"/>
      <c r="D247" s="936"/>
      <c r="E247" s="820"/>
      <c r="F247" s="934">
        <f>+F442</f>
        <v>46809782.421285272</v>
      </c>
      <c r="G247" s="934">
        <f>+G442</f>
        <v>28527546.25</v>
      </c>
      <c r="H247" s="1264"/>
      <c r="I247" s="1263"/>
    </row>
    <row r="248" spans="2:19">
      <c r="B248" s="852" t="s">
        <v>860</v>
      </c>
      <c r="C248" s="936"/>
      <c r="D248" s="936"/>
      <c r="E248" s="820"/>
      <c r="F248" s="934">
        <f>+N450+Q450+K450</f>
        <v>13162177</v>
      </c>
      <c r="G248" s="934">
        <f>+O450+R450+L450</f>
        <v>9119129</v>
      </c>
      <c r="H248" s="1264"/>
      <c r="I248" s="1263"/>
    </row>
    <row r="249" spans="2:19">
      <c r="B249" s="935" t="s">
        <v>861</v>
      </c>
      <c r="C249" s="936"/>
      <c r="D249" s="936"/>
      <c r="E249" s="820"/>
      <c r="F249" s="934">
        <f>+F446</f>
        <v>7851552.4746909877</v>
      </c>
      <c r="G249" s="934">
        <f>+G446</f>
        <v>13538251.855289809</v>
      </c>
      <c r="H249" s="1264"/>
      <c r="I249" s="1263"/>
    </row>
    <row r="250" spans="2:19">
      <c r="B250" s="1414" t="s">
        <v>1787</v>
      </c>
      <c r="C250" s="1415"/>
      <c r="D250" s="1415"/>
      <c r="E250" s="1416"/>
      <c r="F250" s="934"/>
      <c r="G250" s="934"/>
      <c r="H250" s="1264"/>
      <c r="I250" s="1263"/>
    </row>
    <row r="251" spans="2:19" s="849" customFormat="1" ht="19.5" thickBot="1">
      <c r="B251" s="1414"/>
      <c r="C251" s="1415"/>
      <c r="D251" s="1415"/>
      <c r="E251" s="1416"/>
      <c r="F251" s="927">
        <f>+SUM(F247:F249)</f>
        <v>67823511.89597626</v>
      </c>
      <c r="G251" s="927">
        <f>+SUM(G247:G249)</f>
        <v>51184927.105289809</v>
      </c>
      <c r="H251" s="1264"/>
      <c r="I251" s="1285"/>
      <c r="J251" s="1285"/>
      <c r="K251" s="1285"/>
      <c r="L251" s="1285"/>
      <c r="M251" s="1285"/>
      <c r="N251" s="1285"/>
      <c r="O251" s="1285"/>
      <c r="P251" s="1285"/>
      <c r="Q251" s="1285"/>
      <c r="R251" s="1285"/>
      <c r="S251" s="1285"/>
    </row>
    <row r="252" spans="2:19" s="849" customFormat="1" ht="19.5" thickTop="1">
      <c r="B252" s="935"/>
      <c r="C252" s="936"/>
      <c r="D252" s="936"/>
      <c r="E252" s="937"/>
      <c r="F252" s="938"/>
      <c r="G252" s="833"/>
      <c r="H252" s="1264"/>
      <c r="I252" s="1285"/>
      <c r="J252" s="1285"/>
      <c r="K252" s="1285"/>
      <c r="L252" s="1285"/>
      <c r="M252" s="1285"/>
      <c r="N252" s="1285"/>
      <c r="O252" s="1285"/>
      <c r="P252" s="1285"/>
      <c r="Q252" s="1285"/>
      <c r="R252" s="1285"/>
      <c r="S252" s="1285"/>
    </row>
    <row r="253" spans="2:19" s="849" customFormat="1">
      <c r="B253" s="921" t="s">
        <v>862</v>
      </c>
      <c r="C253" s="922"/>
      <c r="D253" s="922"/>
      <c r="E253" s="820"/>
      <c r="F253" s="930"/>
      <c r="G253" s="833"/>
      <c r="H253" s="1264"/>
      <c r="I253" s="1285"/>
      <c r="J253" s="1285"/>
      <c r="K253" s="1285"/>
      <c r="L253" s="1285"/>
      <c r="M253" s="1285"/>
      <c r="N253" s="1285"/>
      <c r="O253" s="1285"/>
      <c r="P253" s="1285"/>
      <c r="Q253" s="1285"/>
      <c r="R253" s="1285"/>
      <c r="S253" s="1285"/>
    </row>
    <row r="254" spans="2:19" s="849" customFormat="1">
      <c r="B254" s="939" t="s">
        <v>853</v>
      </c>
      <c r="C254" s="940"/>
      <c r="D254" s="940"/>
      <c r="E254" s="820"/>
      <c r="F254" s="930"/>
      <c r="G254" s="833"/>
      <c r="H254" s="1264"/>
      <c r="I254" s="1285"/>
      <c r="J254" s="1285"/>
      <c r="K254" s="1285"/>
      <c r="L254" s="1285"/>
      <c r="M254" s="1285"/>
      <c r="N254" s="1285"/>
      <c r="O254" s="1285"/>
      <c r="P254" s="1285"/>
      <c r="Q254" s="1285"/>
      <c r="R254" s="1285"/>
      <c r="S254" s="1285"/>
    </row>
    <row r="255" spans="2:19" s="849" customFormat="1">
      <c r="B255" s="935" t="s">
        <v>863</v>
      </c>
      <c r="C255" s="936"/>
      <c r="D255" s="936"/>
      <c r="E255" s="820"/>
      <c r="F255" s="930"/>
      <c r="G255" s="831"/>
      <c r="H255" s="1264"/>
      <c r="I255" s="1285"/>
      <c r="J255" s="1285"/>
      <c r="K255" s="1285"/>
      <c r="L255" s="1285"/>
      <c r="M255" s="1285"/>
      <c r="N255" s="1285"/>
      <c r="O255" s="1285"/>
      <c r="P255" s="1285"/>
      <c r="Q255" s="1285"/>
      <c r="R255" s="1285"/>
      <c r="S255" s="1285"/>
    </row>
    <row r="256" spans="2:19" s="849" customFormat="1">
      <c r="B256" s="935" t="s">
        <v>864</v>
      </c>
      <c r="C256" s="936"/>
      <c r="D256" s="936"/>
      <c r="E256" s="820"/>
      <c r="F256" s="831">
        <f>+F789+F790</f>
        <v>6960523</v>
      </c>
      <c r="G256" s="831">
        <v>12548468</v>
      </c>
      <c r="H256" s="1264"/>
      <c r="I256" s="1285"/>
      <c r="J256" s="1285"/>
      <c r="K256" s="1285"/>
      <c r="L256" s="1285"/>
      <c r="M256" s="1285"/>
      <c r="N256" s="1285"/>
      <c r="O256" s="1285"/>
      <c r="P256" s="1285"/>
      <c r="Q256" s="1285"/>
      <c r="R256" s="1285"/>
      <c r="S256" s="1285"/>
    </row>
    <row r="257" spans="2:19" s="849" customFormat="1">
      <c r="B257" s="935" t="s">
        <v>865</v>
      </c>
      <c r="C257" s="936"/>
      <c r="D257" s="936"/>
      <c r="E257" s="820"/>
      <c r="F257" s="934">
        <f>+GETPIVOTDATA("Sum of DR-March 20",Pivot!$A$3,"Note",15,"BS Main Head","Trade Receivables")-GETPIVOTDATA("Sum of CR-March 20",Pivot!$A$3,"Note",15,"BS Main Head","Trade Receivables")-F256</f>
        <v>87893865</v>
      </c>
      <c r="G257" s="831">
        <f>+GETPIVOTDATA("Sum of DR-DEC 19",Pivot!$A$3,"Note",15,"BS Main Head","Trade Receivables")-GETPIVOTDATA("Sum of CR-DEC 19",Pivot!$A$3,"Note",15,"BS Main Head","Trade Receivables")-G256</f>
        <v>77408997.5</v>
      </c>
      <c r="H257" s="1264"/>
      <c r="I257" s="1285"/>
      <c r="J257" s="1285"/>
      <c r="K257" s="1285"/>
      <c r="L257" s="1285"/>
      <c r="M257" s="1285"/>
      <c r="N257" s="1285"/>
      <c r="O257" s="1285"/>
      <c r="P257" s="1285"/>
      <c r="Q257" s="1285"/>
      <c r="R257" s="1285"/>
      <c r="S257" s="1285"/>
    </row>
    <row r="258" spans="2:19" s="849" customFormat="1">
      <c r="B258" s="935"/>
      <c r="C258" s="936"/>
      <c r="D258" s="936"/>
      <c r="E258" s="820"/>
      <c r="F258" s="1110">
        <f>+SUM(F256:F257)</f>
        <v>94854388</v>
      </c>
      <c r="G258" s="1110">
        <f>+SUM(G256:G257)</f>
        <v>89957465.5</v>
      </c>
      <c r="H258" s="1264"/>
      <c r="I258" s="1285"/>
      <c r="J258" s="1285"/>
      <c r="K258" s="1285"/>
      <c r="L258" s="1285"/>
      <c r="M258" s="1285"/>
      <c r="N258" s="1285"/>
      <c r="O258" s="1285"/>
      <c r="P258" s="1285"/>
      <c r="Q258" s="1285"/>
      <c r="R258" s="1285"/>
      <c r="S258" s="1285"/>
    </row>
    <row r="259" spans="2:19" s="849" customFormat="1">
      <c r="B259" s="935" t="s">
        <v>866</v>
      </c>
      <c r="C259" s="936"/>
      <c r="D259" s="936"/>
      <c r="E259" s="820"/>
      <c r="F259" s="831">
        <v>0</v>
      </c>
      <c r="G259" s="831">
        <v>0</v>
      </c>
      <c r="H259" s="1264"/>
      <c r="I259" s="1285"/>
      <c r="J259" s="1285"/>
      <c r="K259" s="1285"/>
      <c r="L259" s="1285"/>
      <c r="M259" s="1285"/>
      <c r="N259" s="1285"/>
      <c r="O259" s="1285"/>
      <c r="P259" s="1285"/>
      <c r="Q259" s="1285"/>
      <c r="R259" s="1285"/>
      <c r="S259" s="1285"/>
    </row>
    <row r="260" spans="2:19" s="849" customFormat="1" ht="37.5" customHeight="1">
      <c r="B260" s="1414" t="s">
        <v>1788</v>
      </c>
      <c r="C260" s="1415"/>
      <c r="D260" s="1415"/>
      <c r="E260" s="1416"/>
      <c r="F260" s="930"/>
      <c r="G260" s="831"/>
      <c r="H260" s="1264"/>
      <c r="I260" s="1285"/>
      <c r="J260" s="1285"/>
      <c r="K260" s="1285"/>
      <c r="L260" s="1285"/>
      <c r="M260" s="1285"/>
      <c r="N260" s="1285"/>
      <c r="O260" s="1285"/>
      <c r="P260" s="1285"/>
      <c r="Q260" s="1285"/>
      <c r="R260" s="1285"/>
      <c r="S260" s="1285"/>
    </row>
    <row r="261" spans="2:19" s="849" customFormat="1" ht="63" customHeight="1">
      <c r="B261" s="1446" t="s">
        <v>1789</v>
      </c>
      <c r="C261" s="1447"/>
      <c r="D261" s="1447"/>
      <c r="E261" s="1455"/>
      <c r="F261" s="930"/>
      <c r="G261" s="831"/>
      <c r="H261" s="1264"/>
      <c r="I261" s="1285"/>
      <c r="J261" s="1285"/>
      <c r="K261" s="1285"/>
      <c r="L261" s="1285"/>
      <c r="M261" s="1285"/>
      <c r="N261" s="1285"/>
      <c r="O261" s="1285"/>
      <c r="P261" s="1285"/>
      <c r="Q261" s="1285"/>
      <c r="R261" s="1285"/>
      <c r="S261" s="1285"/>
    </row>
    <row r="262" spans="2:19" s="849" customFormat="1">
      <c r="B262" s="1446"/>
      <c r="C262" s="1447"/>
      <c r="D262" s="1447"/>
      <c r="E262" s="1455"/>
      <c r="F262" s="930"/>
      <c r="G262" s="831"/>
      <c r="H262" s="1264"/>
      <c r="I262" s="1285"/>
      <c r="J262" s="1285"/>
      <c r="K262" s="1285"/>
      <c r="L262" s="1285"/>
      <c r="M262" s="1285"/>
      <c r="N262" s="1285"/>
      <c r="O262" s="1285"/>
      <c r="P262" s="1285"/>
      <c r="Q262" s="1285"/>
      <c r="R262" s="1285"/>
      <c r="S262" s="1285"/>
    </row>
    <row r="263" spans="2:19" s="849" customFormat="1" ht="103.5" customHeight="1">
      <c r="B263" s="1446"/>
      <c r="C263" s="1447"/>
      <c r="D263" s="1447"/>
      <c r="E263" s="1455"/>
      <c r="F263" s="930"/>
      <c r="G263" s="831"/>
      <c r="H263" s="1264"/>
      <c r="I263" s="1285"/>
      <c r="J263" s="1285"/>
      <c r="K263" s="1285"/>
      <c r="L263" s="1285"/>
      <c r="M263" s="1285"/>
      <c r="N263" s="1285"/>
      <c r="O263" s="1285"/>
      <c r="P263" s="1285"/>
      <c r="Q263" s="1285"/>
      <c r="R263" s="1285"/>
      <c r="S263" s="1285"/>
    </row>
    <row r="264" spans="2:19" s="849" customFormat="1">
      <c r="B264" s="1446"/>
      <c r="C264" s="1447"/>
      <c r="D264" s="1447"/>
      <c r="E264" s="1455"/>
      <c r="F264" s="930"/>
      <c r="G264" s="831"/>
      <c r="H264" s="1264"/>
      <c r="I264" s="1285"/>
      <c r="J264" s="1285"/>
      <c r="K264" s="1285"/>
      <c r="L264" s="1285"/>
      <c r="M264" s="1285"/>
      <c r="N264" s="1285"/>
      <c r="O264" s="1285"/>
      <c r="P264" s="1285"/>
      <c r="Q264" s="1285"/>
      <c r="R264" s="1285"/>
      <c r="S264" s="1285"/>
    </row>
    <row r="265" spans="2:19" s="849" customFormat="1">
      <c r="B265" s="935"/>
      <c r="C265" s="936"/>
      <c r="D265" s="936"/>
      <c r="E265" s="820" t="s">
        <v>749</v>
      </c>
      <c r="F265" s="1141">
        <f>+F258+F259</f>
        <v>94854388</v>
      </c>
      <c r="G265" s="1141">
        <f>+G258+G259</f>
        <v>89957465.5</v>
      </c>
      <c r="H265" s="1264"/>
      <c r="I265" s="1285"/>
      <c r="J265" s="1285"/>
      <c r="K265" s="1285"/>
      <c r="L265" s="1285"/>
      <c r="M265" s="1285"/>
      <c r="N265" s="1285"/>
      <c r="O265" s="1285"/>
      <c r="P265" s="1285"/>
      <c r="Q265" s="1285"/>
      <c r="R265" s="1285"/>
      <c r="S265" s="1285"/>
    </row>
    <row r="266" spans="2:19" s="849" customFormat="1">
      <c r="B266" s="921" t="s">
        <v>867</v>
      </c>
      <c r="C266" s="922"/>
      <c r="D266" s="922"/>
      <c r="E266" s="820"/>
      <c r="F266" s="930"/>
      <c r="G266" s="833"/>
      <c r="H266" s="1264"/>
      <c r="I266" s="1285"/>
      <c r="J266" s="1285"/>
      <c r="K266" s="1285"/>
      <c r="L266" s="1285"/>
      <c r="M266" s="1285"/>
      <c r="N266" s="1285"/>
      <c r="O266" s="1285"/>
      <c r="P266" s="1285"/>
      <c r="Q266" s="1285"/>
      <c r="R266" s="1285"/>
      <c r="S266" s="1285"/>
    </row>
    <row r="267" spans="2:19" s="849" customFormat="1">
      <c r="B267" s="928" t="s">
        <v>868</v>
      </c>
      <c r="C267" s="929"/>
      <c r="D267" s="929"/>
      <c r="E267" s="820"/>
      <c r="F267" s="930"/>
      <c r="G267" s="833"/>
      <c r="H267" s="1264"/>
      <c r="I267" s="1285"/>
      <c r="J267" s="1285"/>
      <c r="K267" s="1285"/>
      <c r="L267" s="1285"/>
      <c r="M267" s="1285"/>
      <c r="N267" s="1285"/>
      <c r="O267" s="1285"/>
      <c r="P267" s="1285"/>
      <c r="Q267" s="1285"/>
      <c r="R267" s="1285"/>
      <c r="S267" s="1285"/>
    </row>
    <row r="268" spans="2:19" s="849" customFormat="1">
      <c r="B268" s="935" t="s">
        <v>869</v>
      </c>
      <c r="C268" s="936"/>
      <c r="D268" s="936"/>
      <c r="E268" s="820"/>
      <c r="F268" s="934">
        <f>+GETPIVOTDATA("Sum of DR-March 20",Pivot!$A$3,"Note",16,"BS Main Head","Cash And Bank Balances","BS Sub Head","Cash On Hand")</f>
        <v>234166</v>
      </c>
      <c r="G268" s="831">
        <f>+GETPIVOTDATA("Sum of DR-DEC 19",Pivot!$A$3,"Note",16,"BS Main Head","Cash And Bank Balances","BS Sub Head","Cash On Hand")</f>
        <v>83523</v>
      </c>
      <c r="H268" s="1264"/>
      <c r="I268" s="1285"/>
      <c r="J268" s="1285"/>
      <c r="K268" s="1285"/>
      <c r="L268" s="1285"/>
      <c r="M268" s="1285"/>
      <c r="N268" s="1285"/>
      <c r="O268" s="1285"/>
      <c r="P268" s="1285"/>
      <c r="Q268" s="1285"/>
      <c r="R268" s="1285"/>
      <c r="S268" s="1285"/>
    </row>
    <row r="269" spans="2:19" s="849" customFormat="1">
      <c r="B269" s="941" t="s">
        <v>870</v>
      </c>
      <c r="C269" s="936"/>
      <c r="D269" s="936"/>
      <c r="E269" s="820"/>
      <c r="F269" s="930"/>
      <c r="G269" s="831"/>
      <c r="H269" s="1264"/>
      <c r="I269" s="1285"/>
      <c r="J269" s="1285"/>
      <c r="K269" s="1285"/>
      <c r="L269" s="1285"/>
      <c r="M269" s="1285"/>
      <c r="N269" s="1285"/>
      <c r="O269" s="1285"/>
      <c r="P269" s="1285"/>
      <c r="Q269" s="1285"/>
      <c r="R269" s="1285"/>
      <c r="S269" s="1285"/>
    </row>
    <row r="270" spans="2:19" s="849" customFormat="1">
      <c r="B270" s="935" t="s">
        <v>871</v>
      </c>
      <c r="C270" s="936"/>
      <c r="D270" s="936"/>
      <c r="E270" s="820"/>
      <c r="F270" s="942">
        <f>+GETPIVOTDATA("Sum of DR-March 20",Pivot!$A$3,"Note",16,"BS Main Head","Cash And Bank Balances","BS Sub Head","Balance With Bank - Current A/c")</f>
        <v>49097</v>
      </c>
      <c r="G270" s="831">
        <f>+GETPIVOTDATA("Sum of DR-DEC 19",Pivot!$A$3,"Note",16,"BS Main Head","Cash And Bank Balances","BS Sub Head","Balance With Bank - Current A/c")</f>
        <v>13126.5</v>
      </c>
      <c r="H270" s="1264"/>
      <c r="I270" s="1285"/>
      <c r="J270" s="1285"/>
      <c r="K270" s="1285"/>
      <c r="L270" s="1285"/>
      <c r="M270" s="1285"/>
      <c r="N270" s="1285"/>
      <c r="O270" s="1285"/>
      <c r="P270" s="1285"/>
      <c r="Q270" s="1285"/>
      <c r="R270" s="1285"/>
      <c r="S270" s="1285"/>
    </row>
    <row r="271" spans="2:19" s="849" customFormat="1" ht="19.5" thickBot="1">
      <c r="B271" s="928"/>
      <c r="C271" s="929"/>
      <c r="D271" s="929"/>
      <c r="E271" s="923"/>
      <c r="F271" s="927">
        <f>+SUM(F268:F270)</f>
        <v>283263</v>
      </c>
      <c r="G271" s="1142">
        <f>+SUM(G268:G270)</f>
        <v>96649.5</v>
      </c>
      <c r="H271" s="1264"/>
      <c r="I271" s="1285"/>
      <c r="J271" s="1285"/>
      <c r="K271" s="1285"/>
      <c r="L271" s="1285"/>
      <c r="M271" s="1285"/>
      <c r="N271" s="1285"/>
      <c r="O271" s="1285"/>
      <c r="P271" s="1285"/>
      <c r="Q271" s="1285"/>
      <c r="R271" s="1285"/>
      <c r="S271" s="1285"/>
    </row>
    <row r="272" spans="2:19" ht="19.5" thickTop="1">
      <c r="B272" s="853"/>
      <c r="C272" s="818"/>
      <c r="D272" s="818"/>
      <c r="E272" s="836"/>
      <c r="F272" s="836"/>
      <c r="G272" s="943"/>
      <c r="H272" s="1266"/>
      <c r="I272" s="1263"/>
    </row>
    <row r="273" spans="2:19">
      <c r="B273" s="921" t="s">
        <v>872</v>
      </c>
      <c r="C273" s="922"/>
      <c r="D273" s="922"/>
      <c r="E273" s="923"/>
      <c r="F273" s="820"/>
      <c r="G273" s="833"/>
      <c r="H273" s="1266"/>
      <c r="I273" s="1263"/>
    </row>
    <row r="274" spans="2:19" s="849" customFormat="1">
      <c r="B274" s="935" t="s">
        <v>873</v>
      </c>
      <c r="C274" s="936"/>
      <c r="D274" s="936"/>
      <c r="E274" s="820"/>
      <c r="F274" s="945">
        <f>+GETPIVOTDATA("Sum of DR-March 20",Pivot!$A$3,"Note",16,"BS Main Head","Cash And Bank Balances","BS Sub Head","Balance With Bank - Other Bank Balance")</f>
        <v>83453.5</v>
      </c>
      <c r="G274" s="831">
        <f>+GETPIVOTDATA("Sum of DR-DEC 19",Pivot!$A$3,"Note",16,"BS Main Head","Cash And Bank Balances","BS Sub Head","Balance With Bank - Other Bank Balance")</f>
        <v>192300</v>
      </c>
      <c r="H274" s="1264"/>
      <c r="I274" s="1285"/>
      <c r="J274" s="1285"/>
      <c r="K274" s="1285"/>
      <c r="L274" s="1285"/>
      <c r="M274" s="1285"/>
      <c r="N274" s="1285"/>
      <c r="O274" s="1285"/>
      <c r="P274" s="1285"/>
      <c r="Q274" s="1285"/>
      <c r="R274" s="1285"/>
      <c r="S274" s="1285"/>
    </row>
    <row r="275" spans="2:19" s="849" customFormat="1">
      <c r="B275" s="935" t="s">
        <v>874</v>
      </c>
      <c r="C275" s="936"/>
      <c r="D275" s="936"/>
      <c r="E275" s="820"/>
      <c r="F275" s="930"/>
      <c r="G275" s="831"/>
      <c r="H275" s="1264"/>
      <c r="I275" s="1285"/>
      <c r="J275" s="1285"/>
      <c r="K275" s="1285"/>
      <c r="L275" s="1285"/>
      <c r="M275" s="1285"/>
      <c r="N275" s="1285"/>
      <c r="O275" s="1285"/>
      <c r="P275" s="1285"/>
      <c r="Q275" s="1285"/>
      <c r="R275" s="1285"/>
      <c r="S275" s="1285"/>
    </row>
    <row r="276" spans="2:19" ht="19.5" thickBot="1">
      <c r="B276" s="928"/>
      <c r="C276" s="929"/>
      <c r="D276" s="929"/>
      <c r="E276" s="820"/>
      <c r="F276" s="927">
        <f>+SUM(F274:F275)</f>
        <v>83453.5</v>
      </c>
      <c r="G276" s="927">
        <f>+SUM(G274:G275)</f>
        <v>192300</v>
      </c>
      <c r="H276" s="1266"/>
      <c r="I276" s="1263"/>
    </row>
    <row r="277" spans="2:19" ht="19.5" thickTop="1">
      <c r="B277" s="1491" t="s">
        <v>875</v>
      </c>
      <c r="C277" s="1492"/>
      <c r="D277" s="1172"/>
      <c r="E277" s="820"/>
      <c r="F277" s="831"/>
      <c r="G277" s="833"/>
      <c r="H277" s="1266"/>
      <c r="I277" s="1263"/>
    </row>
    <row r="278" spans="2:19">
      <c r="B278" s="1431" t="s">
        <v>876</v>
      </c>
      <c r="C278" s="1432"/>
      <c r="D278" s="1432"/>
      <c r="E278" s="1432"/>
      <c r="F278" s="831"/>
      <c r="G278" s="833"/>
      <c r="H278" s="1266"/>
      <c r="I278" s="1263"/>
    </row>
    <row r="279" spans="2:19">
      <c r="B279" s="852" t="s">
        <v>877</v>
      </c>
      <c r="C279" s="946"/>
      <c r="D279" s="946"/>
      <c r="E279" s="820"/>
      <c r="F279" s="831">
        <f>+GETPIVOTDATA("Sum of DR-March 20",Pivot!$A$3,"Note",12,"BS Main Head","Long Term Loans &amp; Advances","BS Sub Head","Loans and Advances to Employees")</f>
        <v>348000</v>
      </c>
      <c r="G279" s="831">
        <f>+GETPIVOTDATA("Sum of DR-DEC 19",Pivot!$A$3,"Note",12,"BS Main Head","Long Term Loans &amp; Advances","BS Sub Head","Loans and Advances to Employees")</f>
        <v>321352</v>
      </c>
      <c r="H279" s="1264"/>
      <c r="I279" s="1263"/>
    </row>
    <row r="280" spans="2:19">
      <c r="B280" s="935" t="s">
        <v>878</v>
      </c>
      <c r="C280" s="947"/>
      <c r="D280" s="947"/>
      <c r="E280" s="820"/>
      <c r="F280" s="831">
        <f>+SUM(F281:F283)</f>
        <v>8195299.96</v>
      </c>
      <c r="G280" s="831">
        <f>+SUM(G281:G283)</f>
        <v>5447806.1199999992</v>
      </c>
      <c r="H280" s="1264"/>
      <c r="I280" s="1263"/>
    </row>
    <row r="281" spans="2:19" hidden="1">
      <c r="B281" s="852" t="s">
        <v>883</v>
      </c>
      <c r="C281" s="947"/>
      <c r="D281" s="947"/>
      <c r="E281" s="820"/>
      <c r="F281" s="945">
        <f>+Sheet1!D6</f>
        <v>7440550</v>
      </c>
      <c r="G281" s="831">
        <v>8026975</v>
      </c>
      <c r="H281" s="1264"/>
      <c r="I281" s="1263"/>
    </row>
    <row r="282" spans="2:19" hidden="1">
      <c r="B282" s="852" t="s">
        <v>882</v>
      </c>
      <c r="C282" s="947"/>
      <c r="D282" s="947"/>
      <c r="E282" s="820"/>
      <c r="F282" s="945">
        <v>0</v>
      </c>
      <c r="G282" s="831">
        <f>+GETPIVOTDATA("Sum of DR-DEC 19",Pivot!$A$3,"PARTICULARS","VAT Receivable  (F.Y. 14-15)","Note",12,"BS Main Head","Long Term Loans &amp; Advances","BS Sub Head","Balance with Government Authorities")</f>
        <v>439878</v>
      </c>
      <c r="H282" s="1264"/>
      <c r="I282" s="1263"/>
    </row>
    <row r="283" spans="2:19" hidden="1">
      <c r="B283" s="935" t="s">
        <v>1302</v>
      </c>
      <c r="C283" s="947"/>
      <c r="D283" s="947"/>
      <c r="E283" s="820"/>
      <c r="F283" s="831">
        <f>+GETPIVOTDATA("Sum of DR-March 20",Pivot!$A$3,"Note",12,"BS Main Head","Long Term Loans &amp; Advances","BS Sub Head","GST")-GETPIVOTDATA("Sum of CR-March 20",Pivot!$A$3,"Note",12,"BS Main Head","Long Term Loans &amp; Advances","BS Sub Head","GST")</f>
        <v>754749.96</v>
      </c>
      <c r="G283" s="831">
        <f>+GETPIVOTDATA("Sum of DR-DEC 19",Pivot!$A$3,"Note",12,"BS Main Head","Long Term Loans &amp; Advances","BS Sub Head","GST")-GETPIVOTDATA("Sum of CR-DEC 19",Pivot!$A$3,"Note",12,"BS Main Head","Long Term Loans &amp; Advances","BS Sub Head","GST")</f>
        <v>-3019046.8800000004</v>
      </c>
      <c r="H283" s="1264"/>
      <c r="I283" s="1263"/>
    </row>
    <row r="284" spans="2:19" ht="19.5" thickBot="1">
      <c r="B284" s="941"/>
      <c r="C284" s="940"/>
      <c r="D284" s="940"/>
      <c r="E284" s="948"/>
      <c r="F284" s="927">
        <f>+SUM(F279:F280)</f>
        <v>8543299.9600000009</v>
      </c>
      <c r="G284" s="927">
        <f>+SUM(G279:G280)</f>
        <v>5769158.1199999992</v>
      </c>
      <c r="H284" s="1266"/>
      <c r="I284" s="1263"/>
    </row>
    <row r="285" spans="2:19" ht="19.5" thickTop="1">
      <c r="B285" s="921" t="s">
        <v>879</v>
      </c>
      <c r="C285" s="819"/>
      <c r="D285" s="819"/>
      <c r="E285" s="820"/>
      <c r="F285" s="831"/>
      <c r="G285" s="860"/>
      <c r="H285" s="1266"/>
      <c r="I285" s="1263"/>
    </row>
    <row r="286" spans="2:19">
      <c r="B286" s="852" t="s">
        <v>880</v>
      </c>
      <c r="C286" s="946"/>
      <c r="D286" s="946"/>
      <c r="E286" s="820"/>
      <c r="F286" s="831">
        <f>+GETPIVOTDATA("Sum of DR-March 20",Pivot!$A$3,"Note",17,"BS Main Head","Short Term Loans &amp; Advances","BS Sub Head","Advance to Suppliers")-GETPIVOTDATA("Sum of CR-March 20",Pivot!$A$3,"Note",17,"BS Main Head","Short Term Loans &amp; Advances","BS Sub Head","Advance to Suppliers")</f>
        <v>3923050.7999999993</v>
      </c>
      <c r="G286" s="831">
        <f>+GETPIVOTDATA("Sum of DR-DEC 19",Pivot!$A$3,"Note",17,"BS Main Head","Short Term Loans &amp; Advances","BS Sub Head","Advance to Suppliers")-GETPIVOTDATA("Sum of CR-DEC 19",Pivot!$A$3,"Note",17,"BS Main Head","Short Term Loans &amp; Advances","BS Sub Head","Advance to Suppliers")</f>
        <v>5920085.1800000006</v>
      </c>
      <c r="H286" s="1264"/>
      <c r="I286" s="1263"/>
    </row>
    <row r="287" spans="2:19">
      <c r="B287" s="852" t="s">
        <v>1803</v>
      </c>
      <c r="C287" s="946"/>
      <c r="D287" s="946"/>
      <c r="E287" s="820"/>
      <c r="F287" s="831">
        <f>+GETPIVOTDATA("Sum of DR-March 20",Pivot!$A$3,"Note",18,"BS Main Head","Other Current Assets","BS Sub Head","Advance to Suppliers")</f>
        <v>470000</v>
      </c>
      <c r="G287" s="831">
        <f>+GETPIVOTDATA("Sum of DR-DEC 19",Pivot!$A$3,"Note",18,"BS Main Head","Other Current Assets","BS Sub Head","Advance to Suppliers")</f>
        <v>50000</v>
      </c>
      <c r="H287" s="1264"/>
      <c r="I287" s="1263"/>
    </row>
    <row r="288" spans="2:19">
      <c r="B288" s="852" t="s">
        <v>657</v>
      </c>
      <c r="C288" s="922"/>
      <c r="D288" s="922"/>
      <c r="E288" s="820"/>
      <c r="F288" s="831">
        <f>+GETPIVOTDATA("Sum of DR-March 20",Pivot!$A$3,"Note",18,"BS Main Head","Other Current Assets","BS Sub Head","Prepaid Expenses")-2</f>
        <v>713685</v>
      </c>
      <c r="G288" s="831">
        <f>+GETPIVOTDATA("Sum of DR-DEC 19",Pivot!$A$3,"Note",18,"BS Main Head","Other Current Assets","BS Sub Head","Prepaid Expenses")</f>
        <v>925806</v>
      </c>
      <c r="H288" s="1264"/>
      <c r="I288" s="1263"/>
    </row>
    <row r="289" spans="1:19">
      <c r="B289" s="852" t="s">
        <v>881</v>
      </c>
      <c r="C289" s="922"/>
      <c r="D289" s="922"/>
      <c r="E289" s="820"/>
      <c r="F289" s="831">
        <f>+GETPIVOTDATA("Sum of DR-March 20",Pivot!$A$3,"Note",18,"BS Main Head","Other Current Assets","BS Sub Head","Insurance claim Receivable")</f>
        <v>0</v>
      </c>
      <c r="G289" s="831">
        <f>+GETPIVOTDATA("Sum of DR-DEC 19",Pivot!$A$3,"Note",18,"BS Main Head","Other Current Assets","BS Sub Head","Insurance claim Receivable")</f>
        <v>380717</v>
      </c>
      <c r="H289" s="1264"/>
      <c r="I289" s="1263"/>
    </row>
    <row r="290" spans="1:19">
      <c r="B290" s="853"/>
      <c r="C290" s="922"/>
      <c r="D290" s="922"/>
      <c r="E290" s="923"/>
      <c r="F290" s="820"/>
      <c r="G290" s="831"/>
      <c r="H290" s="1264"/>
      <c r="I290" s="1263"/>
    </row>
    <row r="291" spans="1:19" ht="19.5" thickBot="1">
      <c r="B291" s="941"/>
      <c r="C291" s="922"/>
      <c r="D291" s="922"/>
      <c r="E291" s="948"/>
      <c r="F291" s="927">
        <f>+SUM(F286:F290)</f>
        <v>5106735.7999999989</v>
      </c>
      <c r="G291" s="927">
        <f>+SUM(G286:G290)</f>
        <v>7276608.1800000006</v>
      </c>
      <c r="H291" s="1266"/>
      <c r="I291" s="1263"/>
    </row>
    <row r="292" spans="1:19" ht="19.5" thickTop="1">
      <c r="B292" s="921" t="s">
        <v>884</v>
      </c>
      <c r="C292" s="922"/>
      <c r="D292" s="922"/>
      <c r="E292" s="948"/>
      <c r="F292" s="950"/>
      <c r="G292" s="833"/>
      <c r="H292" s="1266"/>
      <c r="I292" s="1263"/>
      <c r="J292" s="1263">
        <f>+J293-F293</f>
        <v>-17190</v>
      </c>
    </row>
    <row r="293" spans="1:19">
      <c r="B293" s="852" t="s">
        <v>885</v>
      </c>
      <c r="C293" s="819"/>
      <c r="D293" s="819"/>
      <c r="E293" s="820"/>
      <c r="F293" s="969">
        <f>+GETPIVOTDATA("Sum of DR-March 20",Pivot!$A$3,"Note",12,"BS Main Head","Long Term Loans &amp; Advances","BS Sub Head","Advance Income Tax")-GETPIVOTDATA("Sum of DR-March 20",Pivot!$A$3,"PARTICULARS","Advance Income Tax (A.Y. 2020-21)","Note",12,"BS Main Head","Long Term Loans &amp; Advances","BS Sub Head","Advance Income Tax")-GETPIVOTDATA("Sum of DR-March 20",Pivot!$A$3,"PARTICULARS","TDS (A. Y. 2020-21)","Note",12,"BS Main Head","Long Term Loans &amp; Advances","BS Sub Head","Advance Income Tax")-GETPIVOTDATA("Sum of DR-March 20",Pivot!$A$3,"PARTICULARS","T.C.S. (A.Y.2020-21)","Note",12,"BS Main Head","Long Term Loans &amp; Advances","BS Sub Head","Advance Income Tax")</f>
        <v>585094</v>
      </c>
      <c r="G293" s="831">
        <f>+GETPIVOTDATA("Sum of DR-DEC 19",Pivot!$A$3,"Note",12,"BS Main Head","Long Term Loans &amp; Advances","BS Sub Head","Advance Income Tax")-GETPIVOTDATA("Sum of DR-DEC 19",Pivot!$A$3,"PARTICULARS","TDS  (A. Y. 2019-20)","Note",12,"BS Main Head","Long Term Loans &amp; Advances","BS Sub Head","Advance Income Tax")-GETPIVOTDATA("Sum of DR-DEC 19",Pivot!$A$3,"PARTICULARS","Advance Income Tax (A.Y. 2019-20)","Note",12,"BS Main Head","Long Term Loans &amp; Advances","BS Sub Head","Advance Income Tax")</f>
        <v>572621</v>
      </c>
      <c r="H293" s="1264"/>
      <c r="I293" s="1263"/>
      <c r="J293" s="1263">
        <f>+GETPIVOTDATA("Sum of DR-March 20",Pivot!$A$3,"PARTICULARS","Provision for I.T, A.Y.2017-18","Note",12,"BS Main Head","Long Term Loans &amp; Advances","BS Sub Head","Advance Income Tax")+GETPIVOTDATA("Sum of DR-March 20",Pivot!$A$3,"PARTICULARS","Provision For I.T. A.Y, 2005-06","Note",12,"BS Main Head","Long Term Loans &amp; Advances","BS Sub Head","Advance Income Tax")+GETPIVOTDATA("Sum of DR-March 20",Pivot!$A$3,"PARTICULARS","Provision for I.T. A.Y, 2013-14","Note",12,"BS Main Head","Long Term Loans &amp; Advances","BS Sub Head","Advance Income Tax")+GETPIVOTDATA("Sum of DR-March 20",Pivot!$A$3,"PARTICULARS","Provision for I.T. A.Y. 2008-09","Note",12,"BS Main Head","Long Term Loans &amp; Advances","BS Sub Head","Advance Income Tax")</f>
        <v>567904</v>
      </c>
      <c r="K293" s="1263">
        <f>+GETPIVOTDATA("Sum of DR-March 20",Pivot!$A$3,"PARTICULARS","Provision for I.T, A.Y.2017-18","Note",12,"BS Main Head","Long Term Loans &amp; Advances","BS Sub Head","Advance Income Tax")+GETPIVOTDATA("Sum of DR-March 20",Pivot!$A$3,"PARTICULARS","Provision For I.T. A.Y, 2005-06","Note",12,"BS Main Head","Long Term Loans &amp; Advances","BS Sub Head","Advance Income Tax")+GETPIVOTDATA("Sum of DR-March 20",Pivot!$A$3,"PARTICULARS","Provision for I.T. A.Y, 2013-14","Note",12,"BS Main Head","Long Term Loans &amp; Advances","BS Sub Head","Advance Income Tax")+GETPIVOTDATA("Sum of DR-March 20",Pivot!$A$3,"PARTICULARS","Provision for I.T. A.Y. 2008-09","Note",12,"BS Main Head","Long Term Loans &amp; Advances","BS Sub Head","Advance Income Tax")</f>
        <v>567904</v>
      </c>
    </row>
    <row r="294" spans="1:19">
      <c r="B294" s="951"/>
      <c r="C294" s="952"/>
      <c r="D294" s="952"/>
      <c r="E294" s="920"/>
      <c r="F294" s="1110">
        <f>+F293</f>
        <v>585094</v>
      </c>
      <c r="G294" s="1110">
        <f>+SUM(G293)</f>
        <v>572621</v>
      </c>
      <c r="H294" s="1266"/>
      <c r="I294" s="1263"/>
    </row>
    <row r="295" spans="1:19" s="858" customFormat="1">
      <c r="A295" s="818"/>
      <c r="B295" s="1425" t="s">
        <v>750</v>
      </c>
      <c r="C295" s="1426"/>
      <c r="D295" s="1426"/>
      <c r="E295" s="1426"/>
      <c r="F295" s="1426"/>
      <c r="G295" s="1427"/>
      <c r="H295" s="1264"/>
      <c r="I295" s="1286"/>
      <c r="J295" s="1278"/>
      <c r="K295" s="1278"/>
      <c r="L295" s="1278"/>
      <c r="M295" s="1278"/>
      <c r="N295" s="1278"/>
      <c r="O295" s="1278"/>
      <c r="P295" s="1278"/>
      <c r="Q295" s="1278"/>
      <c r="R295" s="1278"/>
      <c r="S295" s="1278"/>
    </row>
    <row r="296" spans="1:19">
      <c r="B296" s="1428" t="s">
        <v>1299</v>
      </c>
      <c r="C296" s="1429"/>
      <c r="D296" s="1429"/>
      <c r="E296" s="1429"/>
      <c r="F296" s="1429"/>
      <c r="G296" s="1430"/>
      <c r="H296" s="1264"/>
      <c r="I296" s="1286"/>
    </row>
    <row r="297" spans="1:19">
      <c r="B297" s="1126" t="s">
        <v>546</v>
      </c>
      <c r="C297" s="886"/>
      <c r="D297" s="886"/>
      <c r="E297" s="1139"/>
      <c r="F297" s="1180" t="s">
        <v>2003</v>
      </c>
      <c r="G297" s="1180" t="s">
        <v>2002</v>
      </c>
      <c r="H297" s="1266"/>
      <c r="I297" s="1263"/>
    </row>
    <row r="298" spans="1:19">
      <c r="B298" s="888"/>
      <c r="C298" s="889"/>
      <c r="D298" s="889"/>
      <c r="E298" s="920"/>
      <c r="F298" s="825" t="s">
        <v>2004</v>
      </c>
      <c r="G298" s="825" t="s">
        <v>2005</v>
      </c>
      <c r="H298" s="1266"/>
      <c r="I298" s="1263"/>
    </row>
    <row r="299" spans="1:19">
      <c r="B299" s="921" t="s">
        <v>886</v>
      </c>
      <c r="C299" s="922"/>
      <c r="D299" s="922"/>
      <c r="E299" s="954"/>
      <c r="F299" s="948"/>
      <c r="G299" s="833"/>
      <c r="H299" s="1266"/>
      <c r="I299" s="1263"/>
    </row>
    <row r="300" spans="1:19">
      <c r="B300" s="928"/>
      <c r="C300" s="929"/>
      <c r="D300" s="929"/>
      <c r="E300" s="923"/>
      <c r="F300" s="820"/>
      <c r="G300" s="831"/>
      <c r="H300" s="1266"/>
      <c r="I300" s="1263"/>
    </row>
    <row r="301" spans="1:19">
      <c r="B301" s="955" t="s">
        <v>887</v>
      </c>
      <c r="C301" s="956"/>
      <c r="D301" s="956"/>
      <c r="E301" s="923"/>
      <c r="F301" s="820"/>
      <c r="G301" s="831"/>
      <c r="H301" s="1266"/>
      <c r="I301" s="1263"/>
    </row>
    <row r="302" spans="1:19">
      <c r="B302" s="957" t="s">
        <v>2064</v>
      </c>
      <c r="C302" s="958"/>
      <c r="D302" s="958"/>
      <c r="E302" s="959"/>
      <c r="F302" s="960">
        <v>35000000</v>
      </c>
      <c r="G302" s="974">
        <v>35000000</v>
      </c>
      <c r="H302" s="1266"/>
      <c r="I302" s="1263"/>
    </row>
    <row r="303" spans="1:19" ht="19.5" thickBot="1">
      <c r="B303" s="957"/>
      <c r="C303" s="958"/>
      <c r="D303" s="958"/>
      <c r="E303" s="923"/>
      <c r="F303" s="961">
        <v>35000000</v>
      </c>
      <c r="G303" s="1143">
        <v>35000000</v>
      </c>
      <c r="H303" s="1266"/>
      <c r="I303" s="1263"/>
    </row>
    <row r="304" spans="1:19" ht="19.5" thickTop="1">
      <c r="B304" s="962" t="s">
        <v>888</v>
      </c>
      <c r="C304" s="963"/>
      <c r="D304" s="963"/>
      <c r="E304" s="923"/>
      <c r="F304" s="923"/>
      <c r="G304" s="831"/>
      <c r="H304" s="1266"/>
      <c r="I304" s="1263"/>
    </row>
    <row r="305" spans="2:9">
      <c r="B305" s="1417" t="s">
        <v>2065</v>
      </c>
      <c r="C305" s="1418"/>
      <c r="D305" s="1418"/>
      <c r="E305" s="1419"/>
      <c r="F305" s="964">
        <v>26922650</v>
      </c>
      <c r="G305" s="831">
        <v>26922650</v>
      </c>
      <c r="H305" s="1264"/>
      <c r="I305" s="1263"/>
    </row>
    <row r="306" spans="2:9">
      <c r="B306" s="1417"/>
      <c r="C306" s="1418"/>
      <c r="D306" s="1418"/>
      <c r="E306" s="1419"/>
      <c r="F306" s="923"/>
      <c r="G306" s="831"/>
      <c r="H306" s="1266"/>
      <c r="I306" s="1263"/>
    </row>
    <row r="307" spans="2:9" ht="19.5" thickBot="1">
      <c r="B307" s="928"/>
      <c r="C307" s="929"/>
      <c r="D307" s="929"/>
      <c r="E307" s="923"/>
      <c r="F307" s="927">
        <v>26922650</v>
      </c>
      <c r="G307" s="927">
        <v>26922650</v>
      </c>
      <c r="H307" s="1266"/>
      <c r="I307" s="1263"/>
    </row>
    <row r="308" spans="2:9" ht="19.5" thickTop="1">
      <c r="B308" s="994" t="s">
        <v>889</v>
      </c>
      <c r="C308" s="958"/>
      <c r="D308" s="958"/>
      <c r="E308" s="923"/>
      <c r="F308" s="923"/>
      <c r="G308" s="833"/>
      <c r="H308" s="1266"/>
      <c r="I308" s="1263"/>
    </row>
    <row r="309" spans="2:9">
      <c r="B309" s="928"/>
      <c r="C309" s="819"/>
      <c r="D309" s="837" t="s">
        <v>1300</v>
      </c>
      <c r="E309" s="837" t="s">
        <v>890</v>
      </c>
      <c r="F309" s="930"/>
      <c r="G309" s="833"/>
      <c r="H309" s="1266"/>
      <c r="I309" s="1263"/>
    </row>
    <row r="310" spans="2:9" ht="15.75" customHeight="1">
      <c r="B310" s="965" t="s">
        <v>891</v>
      </c>
      <c r="C310" s="819"/>
      <c r="D310" s="966" t="s">
        <v>892</v>
      </c>
      <c r="E310" s="966" t="s">
        <v>892</v>
      </c>
      <c r="F310" s="967" t="s">
        <v>893</v>
      </c>
      <c r="G310" s="967" t="s">
        <v>893</v>
      </c>
      <c r="H310" s="1266"/>
      <c r="I310" s="1263"/>
    </row>
    <row r="311" spans="2:9">
      <c r="B311" s="852" t="s">
        <v>897</v>
      </c>
      <c r="C311" s="819"/>
      <c r="D311" s="968">
        <v>9.9306717577950163</v>
      </c>
      <c r="E311" s="968">
        <v>9.9306717577950163</v>
      </c>
      <c r="F311" s="945">
        <v>267360</v>
      </c>
      <c r="G311" s="945">
        <v>267360</v>
      </c>
      <c r="H311" s="1266"/>
      <c r="I311" s="1263"/>
    </row>
    <row r="312" spans="2:9">
      <c r="B312" s="852" t="s">
        <v>895</v>
      </c>
      <c r="C312" s="819"/>
      <c r="D312" s="968">
        <v>8.9884000000000004</v>
      </c>
      <c r="E312" s="968">
        <v>8.5985220622784162</v>
      </c>
      <c r="F312" s="831">
        <v>241995</v>
      </c>
      <c r="G312" s="831">
        <v>231495</v>
      </c>
      <c r="H312" s="1266"/>
      <c r="I312" s="1263"/>
    </row>
    <row r="313" spans="2:9">
      <c r="B313" s="852" t="s">
        <v>894</v>
      </c>
      <c r="C313" s="819"/>
      <c r="D313" s="968">
        <v>8.4837488137311894</v>
      </c>
      <c r="E313" s="968">
        <v>8.4837488137311894</v>
      </c>
      <c r="F313" s="945">
        <v>228405</v>
      </c>
      <c r="G313" s="945">
        <v>228405</v>
      </c>
      <c r="H313" s="1266"/>
      <c r="I313" s="1263"/>
    </row>
    <row r="314" spans="2:9">
      <c r="B314" s="852" t="s">
        <v>898</v>
      </c>
      <c r="C314" s="819"/>
      <c r="D314" s="968">
        <v>6.9196382971215691</v>
      </c>
      <c r="E314" s="968">
        <v>6.9196382971215691</v>
      </c>
      <c r="F314" s="945">
        <v>186295</v>
      </c>
      <c r="G314" s="945">
        <v>186295</v>
      </c>
      <c r="H314" s="1266"/>
      <c r="I314" s="1263"/>
    </row>
    <row r="315" spans="2:9">
      <c r="B315" s="852" t="s">
        <v>896</v>
      </c>
      <c r="C315" s="819"/>
      <c r="D315" s="968">
        <v>5.6066174763628389</v>
      </c>
      <c r="E315" s="968">
        <v>5.6066174763628389</v>
      </c>
      <c r="F315" s="969">
        <v>150945</v>
      </c>
      <c r="G315" s="969">
        <v>150945</v>
      </c>
      <c r="H315" s="1266"/>
      <c r="I315" s="1263"/>
    </row>
    <row r="316" spans="2:9" ht="15.75" customHeight="1">
      <c r="B316" s="928"/>
      <c r="C316" s="820"/>
      <c r="D316" s="820"/>
      <c r="E316" s="820"/>
      <c r="F316" s="1144"/>
      <c r="G316" s="970"/>
      <c r="H316" s="1266"/>
      <c r="I316" s="1263"/>
    </row>
    <row r="317" spans="2:9">
      <c r="B317" s="928"/>
      <c r="C317" s="820"/>
      <c r="D317" s="820"/>
      <c r="E317" s="820"/>
      <c r="F317" s="930"/>
      <c r="G317" s="970"/>
      <c r="H317" s="1266"/>
      <c r="I317" s="1263"/>
    </row>
    <row r="318" spans="2:9" ht="49.5" customHeight="1">
      <c r="B318" s="1433" t="s">
        <v>899</v>
      </c>
      <c r="C318" s="1434"/>
      <c r="D318" s="1434"/>
      <c r="E318" s="1434"/>
      <c r="F318" s="971"/>
      <c r="G318" s="970"/>
      <c r="H318" s="1266"/>
      <c r="I318" s="1263"/>
    </row>
    <row r="319" spans="2:9">
      <c r="B319" s="939" t="s">
        <v>546</v>
      </c>
      <c r="C319" s="820"/>
      <c r="D319" s="820"/>
      <c r="E319" s="820"/>
      <c r="F319" s="967" t="s">
        <v>893</v>
      </c>
      <c r="G319" s="972" t="s">
        <v>893</v>
      </c>
      <c r="H319" s="1266"/>
      <c r="I319" s="1263"/>
    </row>
    <row r="320" spans="2:9">
      <c r="B320" s="852" t="s">
        <v>900</v>
      </c>
      <c r="C320" s="820"/>
      <c r="D320" s="820"/>
      <c r="E320" s="820"/>
      <c r="F320" s="945">
        <v>2692265</v>
      </c>
      <c r="G320" s="973">
        <v>2692265</v>
      </c>
      <c r="H320" s="1266"/>
      <c r="I320" s="1263"/>
    </row>
    <row r="321" spans="2:9" ht="15.75" customHeight="1">
      <c r="B321" s="852" t="s">
        <v>901</v>
      </c>
      <c r="C321" s="820"/>
      <c r="D321" s="820"/>
      <c r="E321" s="820"/>
      <c r="F321" s="974">
        <v>0</v>
      </c>
      <c r="G321" s="975">
        <v>0</v>
      </c>
      <c r="H321" s="1266"/>
      <c r="I321" s="1263"/>
    </row>
    <row r="322" spans="2:9">
      <c r="B322" s="852" t="s">
        <v>902</v>
      </c>
      <c r="C322" s="820"/>
      <c r="D322" s="820"/>
      <c r="E322" s="820"/>
      <c r="F322" s="1141">
        <v>2692265</v>
      </c>
      <c r="G322" s="970">
        <v>2692265</v>
      </c>
      <c r="H322" s="1266"/>
      <c r="I322" s="1263"/>
    </row>
    <row r="323" spans="2:9" ht="15.75" customHeight="1">
      <c r="B323" s="928"/>
      <c r="C323" s="820"/>
      <c r="D323" s="820"/>
      <c r="E323" s="820"/>
      <c r="F323" s="930"/>
      <c r="G323" s="970"/>
      <c r="H323" s="1266"/>
      <c r="I323" s="1263"/>
    </row>
    <row r="324" spans="2:9">
      <c r="B324" s="1435" t="s">
        <v>903</v>
      </c>
      <c r="C324" s="1436"/>
      <c r="D324" s="1436"/>
      <c r="E324" s="1436"/>
      <c r="F324" s="976"/>
      <c r="G324" s="970"/>
      <c r="H324" s="1266"/>
      <c r="I324" s="1263"/>
    </row>
    <row r="325" spans="2:9" ht="37.5" customHeight="1">
      <c r="B325" s="1435"/>
      <c r="C325" s="1436"/>
      <c r="D325" s="1436"/>
      <c r="E325" s="1436"/>
      <c r="F325" s="976"/>
      <c r="G325" s="970"/>
      <c r="H325" s="1266"/>
      <c r="I325" s="1263"/>
    </row>
    <row r="326" spans="2:9" ht="15.75" customHeight="1">
      <c r="B326" s="928"/>
      <c r="C326" s="820"/>
      <c r="D326" s="820"/>
      <c r="E326" s="820"/>
      <c r="F326" s="930"/>
      <c r="G326" s="970"/>
      <c r="H326" s="1266"/>
      <c r="I326" s="1263"/>
    </row>
    <row r="327" spans="2:9">
      <c r="B327" s="1437" t="s">
        <v>904</v>
      </c>
      <c r="C327" s="1438"/>
      <c r="D327" s="1438"/>
      <c r="E327" s="1438"/>
      <c r="F327" s="977"/>
      <c r="G327" s="970"/>
      <c r="H327" s="1266"/>
      <c r="I327" s="1263"/>
    </row>
    <row r="328" spans="2:9">
      <c r="B328" s="978" t="s">
        <v>905</v>
      </c>
      <c r="C328" s="820"/>
      <c r="D328" s="820"/>
      <c r="E328" s="820"/>
      <c r="F328" s="930"/>
      <c r="G328" s="970"/>
      <c r="H328" s="1266"/>
      <c r="I328" s="1263"/>
    </row>
    <row r="329" spans="2:9" ht="15.75" customHeight="1">
      <c r="B329" s="1453" t="s">
        <v>906</v>
      </c>
      <c r="C329" s="1454"/>
      <c r="D329" s="1454"/>
      <c r="E329" s="1454"/>
      <c r="F329" s="979"/>
      <c r="G329" s="970"/>
      <c r="H329" s="1266"/>
      <c r="I329" s="1263"/>
    </row>
    <row r="330" spans="2:9" ht="15.75" customHeight="1">
      <c r="B330" s="1453"/>
      <c r="C330" s="1454"/>
      <c r="D330" s="1454"/>
      <c r="E330" s="1454"/>
      <c r="F330" s="979"/>
      <c r="G330" s="970"/>
      <c r="H330" s="1266"/>
      <c r="I330" s="1263"/>
    </row>
    <row r="331" spans="2:9" ht="49.5" customHeight="1">
      <c r="B331" s="1453"/>
      <c r="C331" s="1454"/>
      <c r="D331" s="1454"/>
      <c r="E331" s="1454"/>
      <c r="F331" s="979"/>
      <c r="G331" s="970"/>
      <c r="H331" s="1266"/>
      <c r="I331" s="1263"/>
    </row>
    <row r="332" spans="2:9" ht="15.75" customHeight="1">
      <c r="B332" s="1453"/>
      <c r="C332" s="1454"/>
      <c r="D332" s="1454"/>
      <c r="E332" s="1454"/>
      <c r="F332" s="979"/>
      <c r="G332" s="970"/>
      <c r="H332" s="1266"/>
      <c r="I332" s="1263"/>
    </row>
    <row r="333" spans="2:9">
      <c r="B333" s="1453"/>
      <c r="C333" s="1454"/>
      <c r="D333" s="1454"/>
      <c r="E333" s="1454"/>
      <c r="F333" s="979"/>
      <c r="G333" s="970"/>
      <c r="H333" s="1266"/>
      <c r="I333" s="1263"/>
    </row>
    <row r="334" spans="2:9" ht="1.5" customHeight="1">
      <c r="B334" s="1453"/>
      <c r="C334" s="1454"/>
      <c r="D334" s="1454"/>
      <c r="E334" s="1454"/>
      <c r="F334" s="979"/>
      <c r="G334" s="970"/>
      <c r="H334" s="1266"/>
      <c r="I334" s="1263"/>
    </row>
    <row r="335" spans="2:9">
      <c r="B335" s="852"/>
      <c r="C335" s="819"/>
      <c r="D335" s="819"/>
      <c r="E335" s="948"/>
      <c r="F335" s="950"/>
      <c r="G335" s="1026"/>
      <c r="H335" s="1266"/>
      <c r="I335" s="1263"/>
    </row>
    <row r="336" spans="2:9">
      <c r="B336" s="921" t="s">
        <v>907</v>
      </c>
      <c r="C336" s="922"/>
      <c r="D336" s="922"/>
      <c r="E336" s="923"/>
      <c r="F336" s="923"/>
      <c r="G336" s="833" t="s">
        <v>908</v>
      </c>
      <c r="H336" s="1266"/>
      <c r="I336" s="1263"/>
    </row>
    <row r="337" spans="1:19">
      <c r="B337" s="928" t="s">
        <v>909</v>
      </c>
      <c r="C337" s="929"/>
      <c r="D337" s="929"/>
      <c r="E337" s="923"/>
      <c r="F337" s="923"/>
      <c r="G337" s="833"/>
      <c r="H337" s="1266"/>
      <c r="I337" s="1263"/>
    </row>
    <row r="338" spans="1:19">
      <c r="B338" s="980" t="s">
        <v>910</v>
      </c>
      <c r="C338" s="936"/>
      <c r="D338" s="936"/>
      <c r="E338" s="923"/>
      <c r="F338" s="923"/>
      <c r="G338" s="831"/>
      <c r="H338" s="1266"/>
      <c r="I338" s="1263"/>
    </row>
    <row r="339" spans="1:19">
      <c r="B339" s="981" t="s">
        <v>911</v>
      </c>
      <c r="C339" s="958"/>
      <c r="D339" s="958"/>
      <c r="E339" s="923"/>
      <c r="F339" s="964">
        <f>+'Term Loan'!C55</f>
        <v>7052448</v>
      </c>
      <c r="G339" s="831">
        <v>12775406</v>
      </c>
      <c r="H339" s="1264"/>
      <c r="I339" s="1263"/>
    </row>
    <row r="340" spans="1:19" ht="45.75" customHeight="1">
      <c r="B340" s="1446" t="s">
        <v>2049</v>
      </c>
      <c r="C340" s="1447"/>
      <c r="D340" s="1447"/>
      <c r="E340" s="1455"/>
      <c r="F340" s="1175"/>
      <c r="G340" s="831"/>
      <c r="H340" s="1266"/>
      <c r="I340" s="1263"/>
      <c r="J340" s="1263">
        <v>109.92</v>
      </c>
    </row>
    <row r="341" spans="1:19" ht="102" customHeight="1">
      <c r="B341" s="1446"/>
      <c r="C341" s="1447"/>
      <c r="D341" s="1447"/>
      <c r="E341" s="1455"/>
      <c r="F341" s="1175"/>
      <c r="G341" s="831"/>
      <c r="H341" s="1266"/>
      <c r="I341" s="1263"/>
      <c r="J341" s="1263">
        <v>24</v>
      </c>
    </row>
    <row r="342" spans="1:19" ht="6" customHeight="1">
      <c r="B342" s="1446"/>
      <c r="C342" s="1447"/>
      <c r="D342" s="1447"/>
      <c r="E342" s="1455"/>
      <c r="F342" s="1175"/>
      <c r="G342" s="831"/>
      <c r="H342" s="1266"/>
      <c r="I342" s="1263"/>
      <c r="J342" s="1263">
        <v>33</v>
      </c>
    </row>
    <row r="343" spans="1:19">
      <c r="B343" s="1173"/>
      <c r="C343" s="1174"/>
      <c r="D343" s="1174"/>
      <c r="E343" s="1175"/>
      <c r="F343" s="1175"/>
      <c r="G343" s="831"/>
      <c r="H343" s="1266"/>
      <c r="I343" s="1263"/>
    </row>
    <row r="344" spans="1:19">
      <c r="A344" s="982"/>
      <c r="B344" s="983" t="s">
        <v>912</v>
      </c>
      <c r="C344" s="1174"/>
      <c r="D344" s="1174"/>
      <c r="E344" s="1175"/>
      <c r="F344" s="831">
        <f>+'Term Loan'!J55</f>
        <v>0</v>
      </c>
      <c r="G344" s="831">
        <v>130220</v>
      </c>
      <c r="H344" s="1264"/>
      <c r="I344" s="1263"/>
    </row>
    <row r="345" spans="1:19" ht="39.75" customHeight="1">
      <c r="A345" s="982"/>
      <c r="B345" s="1414" t="s">
        <v>2050</v>
      </c>
      <c r="C345" s="1415"/>
      <c r="D345" s="1415"/>
      <c r="E345" s="1416"/>
      <c r="F345" s="1181"/>
      <c r="G345" s="831"/>
      <c r="H345" s="1264"/>
      <c r="I345" s="1263"/>
    </row>
    <row r="346" spans="1:19" ht="42" customHeight="1">
      <c r="A346" s="982"/>
      <c r="B346" s="1414" t="s">
        <v>913</v>
      </c>
      <c r="C346" s="1415"/>
      <c r="D346" s="1415"/>
      <c r="E346" s="1416"/>
      <c r="F346" s="1181"/>
      <c r="G346" s="831"/>
      <c r="H346" s="1264"/>
      <c r="I346" s="1263"/>
    </row>
    <row r="347" spans="1:19">
      <c r="B347" s="1173"/>
      <c r="C347" s="1174"/>
      <c r="D347" s="1174"/>
      <c r="E347" s="1175"/>
      <c r="F347" s="1175"/>
      <c r="G347" s="831"/>
      <c r="H347" s="1266"/>
      <c r="I347" s="1263"/>
    </row>
    <row r="348" spans="1:19">
      <c r="B348" s="941" t="s">
        <v>914</v>
      </c>
      <c r="C348" s="936"/>
      <c r="D348" s="936"/>
      <c r="E348" s="923"/>
      <c r="F348" s="923"/>
      <c r="G348" s="831"/>
      <c r="H348" s="1266"/>
      <c r="I348" s="1263"/>
    </row>
    <row r="349" spans="1:19">
      <c r="B349" s="980" t="s">
        <v>915</v>
      </c>
      <c r="C349" s="936"/>
      <c r="D349" s="936"/>
      <c r="E349" s="923"/>
      <c r="F349" s="923"/>
      <c r="G349" s="831"/>
      <c r="H349" s="1266"/>
      <c r="I349" s="1263"/>
    </row>
    <row r="350" spans="1:19">
      <c r="B350" s="935" t="s">
        <v>1807</v>
      </c>
      <c r="C350" s="936"/>
      <c r="D350" s="936"/>
      <c r="E350" s="923"/>
      <c r="F350" s="964">
        <f>+GETPIVOTDATA("Sum of CR-March 20",Pivot!$A$3,"Note",4,"BS Main Head","Long Term Borrowings","BS Sub Head","Unsecured-From Related Party")</f>
        <v>19290503</v>
      </c>
      <c r="G350" s="831">
        <f>+GETPIVOTDATA("Sum of CR-DEC 19",Pivot!$A$3,"Note",4,"BS Main Head","Long Term Borrowings","BS Sub Head","Unsecured-From Related Party")</f>
        <v>18200001</v>
      </c>
      <c r="H350" s="1264"/>
      <c r="I350" s="1263"/>
    </row>
    <row r="351" spans="1:19">
      <c r="B351" s="984"/>
      <c r="C351" s="985"/>
      <c r="D351" s="985"/>
      <c r="E351" s="986"/>
      <c r="F351" s="1110">
        <f>+SUM(F339:F350)</f>
        <v>26342951</v>
      </c>
      <c r="G351" s="1110">
        <f>+SUM(G339:G350)</f>
        <v>31105627</v>
      </c>
      <c r="H351" s="1266"/>
      <c r="I351" s="1263"/>
    </row>
    <row r="352" spans="1:19" s="858" customFormat="1">
      <c r="A352" s="818"/>
      <c r="B352" s="1425" t="s">
        <v>750</v>
      </c>
      <c r="C352" s="1426"/>
      <c r="D352" s="1426"/>
      <c r="E352" s="1426"/>
      <c r="F352" s="1426"/>
      <c r="G352" s="1427"/>
      <c r="H352" s="1264"/>
      <c r="I352" s="1286"/>
      <c r="J352" s="1278"/>
      <c r="K352" s="1278"/>
      <c r="L352" s="1278"/>
      <c r="M352" s="1278"/>
      <c r="N352" s="1278"/>
      <c r="O352" s="1278"/>
      <c r="P352" s="1278"/>
      <c r="Q352" s="1278"/>
      <c r="R352" s="1278"/>
      <c r="S352" s="1278"/>
    </row>
    <row r="353" spans="2:19">
      <c r="B353" s="1428" t="s">
        <v>1299</v>
      </c>
      <c r="C353" s="1429"/>
      <c r="D353" s="1429"/>
      <c r="E353" s="1429"/>
      <c r="F353" s="1429"/>
      <c r="G353" s="1430"/>
      <c r="H353" s="1264"/>
      <c r="I353" s="1286"/>
    </row>
    <row r="354" spans="2:19">
      <c r="B354" s="1126" t="s">
        <v>546</v>
      </c>
      <c r="C354" s="886"/>
      <c r="D354" s="886"/>
      <c r="E354" s="1139"/>
      <c r="F354" s="1180" t="s">
        <v>2003</v>
      </c>
      <c r="G354" s="1180" t="s">
        <v>2002</v>
      </c>
      <c r="H354" s="1266"/>
      <c r="I354" s="1263"/>
    </row>
    <row r="355" spans="2:19">
      <c r="B355" s="888"/>
      <c r="C355" s="889"/>
      <c r="D355" s="889"/>
      <c r="E355" s="920"/>
      <c r="F355" s="825" t="s">
        <v>2004</v>
      </c>
      <c r="G355" s="825" t="s">
        <v>2005</v>
      </c>
      <c r="H355" s="1266"/>
      <c r="I355" s="1263"/>
    </row>
    <row r="356" spans="2:19">
      <c r="B356" s="955" t="s">
        <v>1943</v>
      </c>
      <c r="C356" s="819"/>
      <c r="D356" s="819"/>
      <c r="E356" s="948"/>
      <c r="F356" s="987"/>
      <c r="G356" s="860"/>
      <c r="H356" s="1266"/>
      <c r="I356" s="1263"/>
    </row>
    <row r="357" spans="2:19">
      <c r="B357" s="852" t="s">
        <v>2060</v>
      </c>
      <c r="C357" s="819"/>
      <c r="D357" s="819"/>
      <c r="E357" s="948"/>
      <c r="F357" s="988">
        <f>+GETPIVOTDATA("Sum of CR-March 20",Pivot!$A$3,"PARTICULARS","Provisions For Gratuity Payable","Note",9,"BS Main Head","Short Term Provision","BS Sub Head","Provision for Employee Benefit")+GETPIVOTDATA("Sum of CR-March 20",Pivot!$A$3,"PARTICULARS","Provision for Acturial Gratuity","Note",9,"BS Main Head","Short Term Provision","BS Sub Head","Provision for Employee Benefit")-GETPIVOTDATA("Sum of DR-March 20",Pivot!$A$3,"PARTICULARS","Deposits Group Gratuity Fund","Note",9,"BS Main Head","Short Term Provision","BS Sub Head","Provision for Employee Benefit")-F414</f>
        <v>2183354.7000000002</v>
      </c>
      <c r="G357" s="988">
        <f>+GETPIVOTDATA("Sum of CR-DEC 19",Pivot!$A$3,"PARTICULARS","Provisions For Gratuity Payable","Note",9,"BS Main Head","Short Term Provision","BS Sub Head","Provision for Employee Benefit")+GETPIVOTDATA("Sum of CR-DEC 19",Pivot!$A$3,"PARTICULARS","Provision for Acturial Gratuity","Note",9,"BS Main Head","Short Term Provision","BS Sub Head","Provision for Employee Benefit")-GETPIVOTDATA("Sum of DR-DEC 19",Pivot!$A$3,"PARTICULARS","Deposits Group Gratuity Fund","Note",9,"BS Main Head","Short Term Provision","BS Sub Head","Provision for Employee Benefit")-G414</f>
        <v>1662107</v>
      </c>
      <c r="H357" s="1266"/>
      <c r="I357" s="1263"/>
    </row>
    <row r="358" spans="2:19">
      <c r="B358" s="852"/>
      <c r="C358" s="819"/>
      <c r="D358" s="819"/>
      <c r="E358" s="948"/>
      <c r="F358" s="825">
        <f>+SUM(F357)</f>
        <v>2183354.7000000002</v>
      </c>
      <c r="G358" s="989">
        <f>+SUM(G357)</f>
        <v>1662107</v>
      </c>
      <c r="H358" s="1266"/>
      <c r="I358" s="1263"/>
    </row>
    <row r="359" spans="2:19">
      <c r="B359" s="955" t="s">
        <v>2055</v>
      </c>
      <c r="C359" s="929"/>
      <c r="D359" s="929"/>
      <c r="E359" s="820"/>
      <c r="F359" s="1144"/>
      <c r="G359" s="833"/>
      <c r="H359" s="1266"/>
      <c r="I359" s="1263"/>
    </row>
    <row r="360" spans="2:19" s="990" customFormat="1">
      <c r="B360" s="1493" t="s">
        <v>916</v>
      </c>
      <c r="C360" s="1494"/>
      <c r="D360" s="1494"/>
      <c r="E360" s="820"/>
      <c r="F360" s="930"/>
      <c r="G360" s="900"/>
      <c r="H360" s="1287"/>
      <c r="I360" s="1288"/>
      <c r="J360" s="1289"/>
      <c r="K360" s="1289"/>
      <c r="L360" s="1289"/>
      <c r="M360" s="1289"/>
      <c r="N360" s="1289"/>
      <c r="O360" s="1289"/>
      <c r="P360" s="1289"/>
      <c r="Q360" s="1289"/>
      <c r="R360" s="1289"/>
      <c r="S360" s="1289"/>
    </row>
    <row r="361" spans="2:19" s="990" customFormat="1">
      <c r="B361" s="1351" t="s">
        <v>2051</v>
      </c>
      <c r="C361" s="1347"/>
      <c r="D361" s="1347"/>
      <c r="E361" s="1347"/>
      <c r="F361" s="945"/>
      <c r="G361" s="911"/>
      <c r="H361" s="1287"/>
      <c r="I361" s="1288"/>
      <c r="J361" s="1289"/>
      <c r="K361" s="1289"/>
      <c r="L361" s="1289"/>
      <c r="M361" s="1289"/>
      <c r="N361" s="1289"/>
      <c r="O361" s="1289"/>
      <c r="P361" s="1289"/>
      <c r="Q361" s="1289"/>
      <c r="R361" s="1289"/>
      <c r="S361" s="1289"/>
    </row>
    <row r="362" spans="2:19" s="990" customFormat="1">
      <c r="B362" s="1352" t="s">
        <v>2052</v>
      </c>
      <c r="C362" s="1347"/>
      <c r="D362" s="1347"/>
      <c r="E362" s="1347"/>
      <c r="F362" s="945"/>
      <c r="G362" s="911"/>
      <c r="H362" s="1287"/>
      <c r="I362" s="1288"/>
      <c r="J362" s="1289"/>
      <c r="K362" s="1289"/>
      <c r="L362" s="1289"/>
      <c r="M362" s="1289"/>
      <c r="N362" s="1289"/>
      <c r="O362" s="1289"/>
      <c r="P362" s="1289"/>
      <c r="Q362" s="1289"/>
      <c r="R362" s="1289"/>
      <c r="S362" s="1289"/>
    </row>
    <row r="363" spans="2:19" s="990" customFormat="1">
      <c r="B363" s="991" t="s">
        <v>2053</v>
      </c>
      <c r="C363" s="1347"/>
      <c r="D363" s="1347"/>
      <c r="E363" s="1347"/>
      <c r="F363" s="969">
        <f>+'Deffered Tax'!J15</f>
        <v>20900187.78983973</v>
      </c>
      <c r="G363" s="910">
        <v>21235308.061607532</v>
      </c>
      <c r="H363" s="1287"/>
      <c r="I363" s="1288"/>
      <c r="J363" s="1289"/>
      <c r="K363" s="1289"/>
      <c r="L363" s="1289"/>
      <c r="M363" s="1289"/>
      <c r="N363" s="1289"/>
      <c r="O363" s="1289"/>
      <c r="P363" s="1289"/>
      <c r="Q363" s="1289"/>
      <c r="R363" s="1289"/>
      <c r="S363" s="1289"/>
    </row>
    <row r="364" spans="2:19" s="990" customFormat="1">
      <c r="B364" s="1351" t="s">
        <v>2054</v>
      </c>
      <c r="C364" s="1347"/>
      <c r="D364" s="1347"/>
      <c r="E364" s="1347"/>
      <c r="F364" s="1353">
        <f>+F363</f>
        <v>20900187.78983973</v>
      </c>
      <c r="G364" s="1353">
        <f>+G363</f>
        <v>21235308.061607532</v>
      </c>
      <c r="H364" s="1287"/>
      <c r="I364" s="1288"/>
      <c r="J364" s="1289"/>
      <c r="K364" s="1289"/>
      <c r="L364" s="1289"/>
      <c r="M364" s="1289"/>
      <c r="N364" s="1289"/>
      <c r="O364" s="1289"/>
      <c r="P364" s="1289"/>
      <c r="Q364" s="1289"/>
      <c r="R364" s="1289"/>
      <c r="S364" s="1289"/>
    </row>
    <row r="365" spans="2:19" s="990" customFormat="1">
      <c r="B365" s="1351" t="s">
        <v>2056</v>
      </c>
      <c r="C365" s="1347"/>
      <c r="D365" s="1347"/>
      <c r="E365" s="1347"/>
      <c r="F365" s="945"/>
      <c r="G365" s="911"/>
      <c r="H365" s="1287"/>
      <c r="I365" s="1288"/>
      <c r="J365" s="1289"/>
      <c r="K365" s="1289"/>
      <c r="L365" s="1289"/>
      <c r="M365" s="1289"/>
      <c r="N365" s="1289"/>
      <c r="O365" s="1289"/>
      <c r="P365" s="1289"/>
      <c r="Q365" s="1289"/>
      <c r="R365" s="1289"/>
      <c r="S365" s="1289"/>
    </row>
    <row r="366" spans="2:19" s="990" customFormat="1">
      <c r="B366" s="1352" t="s">
        <v>2052</v>
      </c>
      <c r="C366" s="1347"/>
      <c r="D366" s="1347"/>
      <c r="E366" s="1347"/>
      <c r="F366" s="945"/>
      <c r="G366" s="911"/>
      <c r="H366" s="1287"/>
      <c r="I366" s="1288"/>
      <c r="J366" s="1289"/>
      <c r="K366" s="1289"/>
      <c r="L366" s="1289"/>
      <c r="M366" s="1289"/>
      <c r="N366" s="1289"/>
      <c r="O366" s="1289"/>
      <c r="P366" s="1289"/>
      <c r="Q366" s="1289"/>
      <c r="R366" s="1289"/>
      <c r="S366" s="1289"/>
    </row>
    <row r="367" spans="2:19" s="990" customFormat="1">
      <c r="B367" s="991" t="s">
        <v>2057</v>
      </c>
      <c r="C367" s="1347"/>
      <c r="D367" s="1347"/>
      <c r="E367" s="1347"/>
      <c r="F367" s="969">
        <f>+'Deffered Tax'!J21</f>
        <v>635262.28757500008</v>
      </c>
      <c r="G367" s="910">
        <v>1121347.9009750001</v>
      </c>
      <c r="H367" s="1287"/>
      <c r="I367" s="1288"/>
      <c r="J367" s="1289"/>
      <c r="K367" s="1289"/>
      <c r="L367" s="1289"/>
      <c r="M367" s="1289"/>
      <c r="N367" s="1289"/>
      <c r="O367" s="1289"/>
      <c r="P367" s="1289"/>
      <c r="Q367" s="1289"/>
      <c r="R367" s="1289"/>
      <c r="S367" s="1289"/>
    </row>
    <row r="368" spans="2:19" s="990" customFormat="1">
      <c r="B368" s="1351" t="s">
        <v>2054</v>
      </c>
      <c r="C368" s="1347"/>
      <c r="D368" s="1347"/>
      <c r="E368" s="1347"/>
      <c r="F368" s="1353">
        <f>+F367</f>
        <v>635262.28757500008</v>
      </c>
      <c r="G368" s="1353">
        <f>+G367</f>
        <v>1121347.9009750001</v>
      </c>
      <c r="H368" s="1287"/>
      <c r="I368" s="1288"/>
      <c r="J368" s="1289"/>
      <c r="K368" s="1289"/>
      <c r="L368" s="1289"/>
      <c r="M368" s="1289"/>
      <c r="N368" s="1289"/>
      <c r="O368" s="1289"/>
      <c r="P368" s="1289"/>
      <c r="Q368" s="1289"/>
      <c r="R368" s="1289"/>
      <c r="S368" s="1289"/>
    </row>
    <row r="369" spans="2:19" s="990" customFormat="1">
      <c r="B369" s="1351" t="s">
        <v>917</v>
      </c>
      <c r="C369" s="851"/>
      <c r="D369" s="948"/>
      <c r="E369" s="948"/>
      <c r="F369" s="1132">
        <f>+F364-F368</f>
        <v>20264925.502264731</v>
      </c>
      <c r="G369" s="1132">
        <f>+G364-G368</f>
        <v>20113960.160632532</v>
      </c>
      <c r="H369" s="1264"/>
      <c r="I369" s="1288"/>
      <c r="J369" s="1289"/>
      <c r="K369" s="1289"/>
      <c r="L369" s="1289"/>
      <c r="M369" s="1289"/>
      <c r="N369" s="1289"/>
      <c r="O369" s="1289"/>
      <c r="P369" s="1289"/>
      <c r="Q369" s="1289"/>
      <c r="R369" s="1289"/>
      <c r="S369" s="1289"/>
    </row>
    <row r="370" spans="2:19" s="990" customFormat="1">
      <c r="B370" s="1351"/>
      <c r="C370" s="851"/>
      <c r="D370" s="948"/>
      <c r="E370" s="948"/>
      <c r="F370" s="909"/>
      <c r="G370" s="909"/>
      <c r="H370" s="1264"/>
      <c r="I370" s="1288"/>
      <c r="J370" s="1289"/>
      <c r="K370" s="1289"/>
      <c r="L370" s="1289"/>
      <c r="M370" s="1289"/>
      <c r="N370" s="1289"/>
      <c r="O370" s="1289"/>
      <c r="P370" s="1289"/>
      <c r="Q370" s="1289"/>
      <c r="R370" s="1289"/>
      <c r="S370" s="1289"/>
    </row>
    <row r="371" spans="2:19" s="990" customFormat="1">
      <c r="B371" s="1021" t="s">
        <v>918</v>
      </c>
      <c r="C371" s="819"/>
      <c r="D371" s="948"/>
      <c r="E371" s="820"/>
      <c r="F371" s="992">
        <f>-GETPIVOTDATA("Sum of DR-March 20",Pivot!$A$3,"Note",12,"BS Main Head","Long Term Loans &amp; Advances","BS Sub Head","MAT Credit Entitlement")+Computation!I83+5440948</f>
        <v>-1808134</v>
      </c>
      <c r="G371" s="992">
        <f>-6610516.08635378-479434</f>
        <v>-7089950.0863537798</v>
      </c>
      <c r="H371" s="1264"/>
      <c r="I371" s="1290"/>
      <c r="J371" s="1289"/>
      <c r="K371" s="1289"/>
      <c r="L371" s="1289"/>
      <c r="M371" s="1289"/>
      <c r="N371" s="1289"/>
      <c r="O371" s="1289"/>
      <c r="P371" s="1289"/>
      <c r="Q371" s="1289"/>
      <c r="R371" s="1289"/>
      <c r="S371" s="1289"/>
    </row>
    <row r="372" spans="2:19" s="990" customFormat="1">
      <c r="B372" s="939" t="s">
        <v>425</v>
      </c>
      <c r="C372" s="819"/>
      <c r="D372" s="948"/>
      <c r="E372" s="820"/>
      <c r="F372" s="1145">
        <f>+F369+F371</f>
        <v>18456791.502264731</v>
      </c>
      <c r="G372" s="1145">
        <f>+G369+G371</f>
        <v>13024010.074278753</v>
      </c>
      <c r="H372" s="1264"/>
      <c r="I372" s="1288"/>
      <c r="J372" s="1291"/>
      <c r="K372" s="1289"/>
      <c r="L372" s="1289"/>
      <c r="M372" s="1289"/>
      <c r="N372" s="1289"/>
      <c r="O372" s="1289"/>
      <c r="P372" s="1289"/>
      <c r="Q372" s="1289"/>
      <c r="R372" s="1289"/>
      <c r="S372" s="1289"/>
    </row>
    <row r="373" spans="2:19" s="990" customFormat="1">
      <c r="B373" s="939"/>
      <c r="C373" s="819"/>
      <c r="D373" s="948"/>
      <c r="E373" s="820"/>
      <c r="F373" s="930"/>
      <c r="G373" s="900"/>
      <c r="H373" s="1287"/>
      <c r="I373" s="1288"/>
      <c r="J373" s="1289"/>
      <c r="K373" s="1289"/>
      <c r="L373" s="1289"/>
      <c r="M373" s="1289"/>
      <c r="N373" s="1289"/>
      <c r="O373" s="1289"/>
      <c r="P373" s="1289"/>
      <c r="Q373" s="1289"/>
      <c r="R373" s="1289"/>
      <c r="S373" s="1289"/>
    </row>
    <row r="374" spans="2:19">
      <c r="B374" s="921" t="s">
        <v>1944</v>
      </c>
      <c r="C374" s="922"/>
      <c r="D374" s="922"/>
      <c r="E374" s="820"/>
      <c r="F374" s="930"/>
      <c r="G374" s="833"/>
      <c r="H374" s="1266"/>
      <c r="I374" s="1263"/>
    </row>
    <row r="375" spans="2:19">
      <c r="B375" s="902" t="s">
        <v>909</v>
      </c>
      <c r="C375" s="940"/>
      <c r="D375" s="940"/>
      <c r="E375" s="820"/>
      <c r="F375" s="930"/>
      <c r="G375" s="833"/>
      <c r="H375" s="1266"/>
      <c r="I375" s="1263"/>
    </row>
    <row r="376" spans="2:19">
      <c r="B376" s="993" t="s">
        <v>919</v>
      </c>
      <c r="C376" s="958"/>
      <c r="D376" s="958"/>
      <c r="E376" s="820"/>
      <c r="F376" s="831"/>
      <c r="G376" s="833"/>
      <c r="H376" s="1266"/>
      <c r="I376" s="1263"/>
    </row>
    <row r="377" spans="2:19">
      <c r="B377" s="981" t="s">
        <v>920</v>
      </c>
      <c r="C377" s="958"/>
      <c r="D377" s="958"/>
      <c r="E377" s="820"/>
      <c r="F377" s="831">
        <f>+GETPIVOTDATA("Sum of CR-March 20",Pivot!$A$3,"Note",6,"BS Main Head","Short Term Borrowings")</f>
        <v>61843530.590000004</v>
      </c>
      <c r="G377" s="831">
        <f>+GETPIVOTDATA("Sum of CR-DEC 19",Pivot!$A$3,"Note",6,"BS Main Head","Short Term Borrowings")</f>
        <v>55675684.390000001</v>
      </c>
      <c r="H377" s="1264"/>
      <c r="I377" s="1263"/>
    </row>
    <row r="378" spans="2:19">
      <c r="B378" s="1446" t="s">
        <v>2061</v>
      </c>
      <c r="C378" s="1447"/>
      <c r="D378" s="1447"/>
      <c r="E378" s="1447"/>
      <c r="F378" s="944"/>
      <c r="G378" s="831"/>
      <c r="H378" s="1266"/>
      <c r="I378" s="1263"/>
    </row>
    <row r="379" spans="2:19" ht="58.5" customHeight="1">
      <c r="B379" s="1446"/>
      <c r="C379" s="1447"/>
      <c r="D379" s="1447"/>
      <c r="E379" s="1447"/>
      <c r="F379" s="944"/>
      <c r="G379" s="967"/>
      <c r="H379" s="1266"/>
      <c r="I379" s="1263"/>
    </row>
    <row r="380" spans="2:19" ht="19.5" thickBot="1">
      <c r="B380" s="896"/>
      <c r="C380" s="894"/>
      <c r="D380" s="894"/>
      <c r="E380" s="923"/>
      <c r="F380" s="927">
        <f>+SUM(F377:F379)</f>
        <v>61843530.590000004</v>
      </c>
      <c r="G380" s="927">
        <f>+SUM(G377:G379)</f>
        <v>55675684.390000001</v>
      </c>
      <c r="H380" s="1266"/>
      <c r="I380" s="1263"/>
    </row>
    <row r="381" spans="2:19" ht="19.5" thickTop="1">
      <c r="B381" s="921" t="s">
        <v>1945</v>
      </c>
      <c r="C381" s="995"/>
      <c r="D381" s="995"/>
      <c r="E381" s="923"/>
      <c r="F381" s="820"/>
      <c r="G381" s="833"/>
      <c r="H381" s="1266"/>
      <c r="I381" s="1263"/>
    </row>
    <row r="382" spans="2:19">
      <c r="B382" s="941" t="s">
        <v>921</v>
      </c>
      <c r="C382" s="995"/>
      <c r="D382" s="995"/>
      <c r="E382" s="923"/>
      <c r="F382" s="869"/>
      <c r="G382" s="833"/>
      <c r="H382" s="1266"/>
      <c r="I382" s="1263"/>
    </row>
    <row r="383" spans="2:19" s="996" customFormat="1">
      <c r="B383" s="935" t="s">
        <v>2014</v>
      </c>
      <c r="C383" s="995"/>
      <c r="D383" s="995"/>
      <c r="E383" s="923"/>
      <c r="F383" s="869">
        <v>11323685</v>
      </c>
      <c r="G383" s="831">
        <v>6391681.25</v>
      </c>
      <c r="H383" s="1266"/>
      <c r="I383" s="1263"/>
      <c r="J383" s="1263"/>
      <c r="K383" s="1263"/>
      <c r="L383" s="1263"/>
      <c r="M383" s="1263"/>
      <c r="N383" s="1263"/>
      <c r="O383" s="1263"/>
      <c r="P383" s="1263"/>
      <c r="Q383" s="1263"/>
      <c r="R383" s="1263"/>
      <c r="S383" s="1263"/>
    </row>
    <row r="384" spans="2:19" s="996" customFormat="1">
      <c r="B384" s="935" t="s">
        <v>2015</v>
      </c>
      <c r="C384" s="995"/>
      <c r="D384" s="995"/>
      <c r="E384" s="923"/>
      <c r="F384" s="964">
        <f>+GETPIVOTDATA("Sum of CR-March 20",Pivot!$A$3,"Note",7,"BS Main Head","Trade Payables")-GETPIVOTDATA("Sum of DR-March 20",Pivot!$A$3,"Note",7,"BS Main Head","Trade Payables")-F383</f>
        <v>47721781.559999995</v>
      </c>
      <c r="G384" s="831">
        <f>+GETPIVOTDATA("Sum of CR-DEC 19",Pivot!$A$3,"Note",7,"BS Main Head","Trade Payables")-GETPIVOTDATA("Sum of DR-DEC 19",Pivot!$A$3,"Note",7,"BS Main Head","Trade Payables")-G383</f>
        <v>43265193.880000003</v>
      </c>
      <c r="H384" s="1264"/>
      <c r="I384" s="1263"/>
      <c r="J384" s="1263"/>
      <c r="K384" s="1263"/>
      <c r="L384" s="1263"/>
      <c r="M384" s="1263"/>
      <c r="N384" s="1263"/>
      <c r="O384" s="1263"/>
      <c r="P384" s="1263"/>
      <c r="Q384" s="1263"/>
      <c r="R384" s="1263"/>
      <c r="S384" s="1263"/>
    </row>
    <row r="385" spans="2:19" s="996" customFormat="1" ht="19.5" thickBot="1">
      <c r="B385" s="935"/>
      <c r="C385" s="995"/>
      <c r="D385" s="995"/>
      <c r="E385" s="923"/>
      <c r="F385" s="927">
        <f>+SUM(F383:F384)</f>
        <v>59045466.559999995</v>
      </c>
      <c r="G385" s="927">
        <f>+SUM(G383:G384)</f>
        <v>49656875.130000003</v>
      </c>
      <c r="H385" s="1266"/>
      <c r="I385" s="1263"/>
      <c r="J385" s="1263"/>
      <c r="K385" s="1263"/>
      <c r="L385" s="1263"/>
      <c r="M385" s="1263"/>
      <c r="N385" s="1263"/>
      <c r="O385" s="1263"/>
      <c r="P385" s="1263"/>
      <c r="Q385" s="1263"/>
      <c r="R385" s="1263"/>
      <c r="S385" s="1263"/>
    </row>
    <row r="386" spans="2:19" s="996" customFormat="1" ht="19.5" thickTop="1">
      <c r="B386" s="1414" t="s">
        <v>2013</v>
      </c>
      <c r="C386" s="1415"/>
      <c r="D386" s="1415"/>
      <c r="E386" s="1415"/>
      <c r="F386" s="1415"/>
      <c r="G386" s="1416"/>
      <c r="H386" s="1266"/>
      <c r="I386" s="1263"/>
      <c r="J386" s="1263"/>
      <c r="K386" s="1263"/>
      <c r="L386" s="1263"/>
      <c r="M386" s="1263"/>
      <c r="N386" s="1263"/>
      <c r="O386" s="1263"/>
      <c r="P386" s="1263"/>
      <c r="Q386" s="1263"/>
      <c r="R386" s="1263"/>
      <c r="S386" s="1263"/>
    </row>
    <row r="387" spans="2:19" s="996" customFormat="1">
      <c r="B387" s="1414"/>
      <c r="C387" s="1415"/>
      <c r="D387" s="1415"/>
      <c r="E387" s="1415"/>
      <c r="F387" s="1415"/>
      <c r="G387" s="1416"/>
      <c r="H387" s="1266"/>
      <c r="I387" s="1263"/>
      <c r="J387" s="1263"/>
      <c r="K387" s="1263"/>
      <c r="L387" s="1263"/>
      <c r="M387" s="1263"/>
      <c r="N387" s="1263"/>
      <c r="O387" s="1263"/>
      <c r="P387" s="1263"/>
      <c r="Q387" s="1263"/>
      <c r="R387" s="1263"/>
      <c r="S387" s="1263"/>
    </row>
    <row r="388" spans="2:19" s="996" customFormat="1">
      <c r="B388" s="1414"/>
      <c r="C388" s="1415"/>
      <c r="D388" s="1415"/>
      <c r="E388" s="1415"/>
      <c r="F388" s="1415"/>
      <c r="G388" s="1416"/>
      <c r="H388" s="1266"/>
      <c r="I388" s="1263"/>
      <c r="J388" s="1263"/>
      <c r="K388" s="1263"/>
      <c r="L388" s="1263"/>
      <c r="M388" s="1263"/>
      <c r="N388" s="1263"/>
      <c r="O388" s="1263"/>
      <c r="P388" s="1263"/>
      <c r="Q388" s="1263"/>
      <c r="R388" s="1263"/>
      <c r="S388" s="1263"/>
    </row>
    <row r="389" spans="2:19" s="996" customFormat="1" ht="42.75" customHeight="1">
      <c r="B389" s="1456" t="s">
        <v>2016</v>
      </c>
      <c r="C389" s="1456"/>
      <c r="D389" s="1456"/>
      <c r="E389" s="1456"/>
      <c r="F389" s="1167" t="s">
        <v>543</v>
      </c>
      <c r="G389" s="1167" t="s">
        <v>544</v>
      </c>
      <c r="H389" s="1266"/>
      <c r="I389" s="1263"/>
      <c r="J389" s="1263"/>
      <c r="K389" s="1263"/>
      <c r="L389" s="1263"/>
      <c r="M389" s="1263"/>
      <c r="N389" s="1263"/>
      <c r="O389" s="1263"/>
      <c r="P389" s="1263"/>
      <c r="Q389" s="1263"/>
      <c r="R389" s="1263"/>
      <c r="S389" s="1263"/>
    </row>
    <row r="390" spans="2:19" s="996" customFormat="1">
      <c r="B390" s="1457" t="s">
        <v>1980</v>
      </c>
      <c r="C390" s="1458"/>
      <c r="D390" s="1458"/>
      <c r="E390" s="1459"/>
      <c r="F390" s="1110">
        <v>11323685</v>
      </c>
      <c r="G390" s="1110">
        <v>6391681.25</v>
      </c>
      <c r="H390" s="1266"/>
      <c r="I390" s="1263"/>
      <c r="J390" s="1263"/>
      <c r="K390" s="1263"/>
      <c r="L390" s="1263"/>
      <c r="M390" s="1263"/>
      <c r="N390" s="1263"/>
      <c r="O390" s="1263"/>
      <c r="P390" s="1263"/>
      <c r="Q390" s="1263"/>
      <c r="R390" s="1263"/>
      <c r="S390" s="1263"/>
    </row>
    <row r="391" spans="2:19" s="996" customFormat="1">
      <c r="B391" s="1457" t="s">
        <v>1981</v>
      </c>
      <c r="C391" s="1458"/>
      <c r="D391" s="1458"/>
      <c r="E391" s="1459"/>
      <c r="F391" s="1110">
        <v>0</v>
      </c>
      <c r="G391" s="1110">
        <v>0</v>
      </c>
      <c r="H391" s="1266"/>
      <c r="I391" s="1263"/>
      <c r="J391" s="1263"/>
      <c r="K391" s="1263"/>
      <c r="L391" s="1263"/>
      <c r="M391" s="1263"/>
      <c r="N391" s="1263"/>
      <c r="O391" s="1263"/>
      <c r="P391" s="1263"/>
      <c r="Q391" s="1263"/>
      <c r="R391" s="1263"/>
      <c r="S391" s="1263"/>
    </row>
    <row r="392" spans="2:19" s="996" customFormat="1" ht="7.5" customHeight="1">
      <c r="B392" s="1182"/>
      <c r="C392" s="1183"/>
      <c r="D392" s="1183"/>
      <c r="E392" s="1184"/>
      <c r="F392" s="1110"/>
      <c r="G392" s="1110"/>
      <c r="H392" s="1266"/>
      <c r="I392" s="1263"/>
      <c r="J392" s="1263"/>
      <c r="K392" s="1263"/>
      <c r="L392" s="1263"/>
      <c r="M392" s="1263"/>
      <c r="N392" s="1263"/>
      <c r="O392" s="1263"/>
      <c r="P392" s="1263"/>
      <c r="Q392" s="1263"/>
      <c r="R392" s="1263"/>
      <c r="S392" s="1263"/>
    </row>
    <row r="393" spans="2:19" s="996" customFormat="1" ht="63" customHeight="1">
      <c r="B393" s="1442" t="s">
        <v>2009</v>
      </c>
      <c r="C393" s="1442"/>
      <c r="D393" s="1442"/>
      <c r="E393" s="1442"/>
      <c r="F393" s="1110">
        <v>0</v>
      </c>
      <c r="G393" s="1110">
        <v>0</v>
      </c>
      <c r="H393" s="1266"/>
      <c r="I393" s="1263"/>
      <c r="J393" s="1263"/>
      <c r="K393" s="1263"/>
      <c r="L393" s="1263"/>
      <c r="M393" s="1263"/>
      <c r="N393" s="1263"/>
      <c r="O393" s="1263"/>
      <c r="P393" s="1263"/>
      <c r="Q393" s="1263"/>
      <c r="R393" s="1263"/>
      <c r="S393" s="1263"/>
    </row>
    <row r="394" spans="2:19" s="996" customFormat="1" ht="75" customHeight="1">
      <c r="B394" s="1442" t="s">
        <v>2010</v>
      </c>
      <c r="C394" s="1442"/>
      <c r="D394" s="1442"/>
      <c r="E394" s="1442"/>
      <c r="F394" s="1110">
        <v>0</v>
      </c>
      <c r="G394" s="1110">
        <v>0</v>
      </c>
      <c r="H394" s="1266"/>
      <c r="I394" s="1263"/>
      <c r="J394" s="1263"/>
      <c r="K394" s="1263"/>
      <c r="L394" s="1263"/>
      <c r="M394" s="1263"/>
      <c r="N394" s="1263"/>
      <c r="O394" s="1263"/>
      <c r="P394" s="1263"/>
      <c r="Q394" s="1263"/>
      <c r="R394" s="1263"/>
      <c r="S394" s="1263"/>
    </row>
    <row r="395" spans="2:19" s="996" customFormat="1" ht="36" customHeight="1">
      <c r="B395" s="1442" t="s">
        <v>2011</v>
      </c>
      <c r="C395" s="1442"/>
      <c r="D395" s="1442"/>
      <c r="E395" s="1442"/>
      <c r="F395" s="1110">
        <v>0</v>
      </c>
      <c r="G395" s="1110">
        <v>0</v>
      </c>
      <c r="H395" s="1266"/>
      <c r="I395" s="1263"/>
      <c r="J395" s="1263"/>
      <c r="K395" s="1263"/>
      <c r="L395" s="1263"/>
      <c r="M395" s="1263"/>
      <c r="N395" s="1263"/>
      <c r="O395" s="1263"/>
      <c r="P395" s="1263"/>
      <c r="Q395" s="1263"/>
      <c r="R395" s="1263"/>
      <c r="S395" s="1263"/>
    </row>
    <row r="396" spans="2:19" s="996" customFormat="1" ht="94.5" customHeight="1">
      <c r="B396" s="1442" t="s">
        <v>2012</v>
      </c>
      <c r="C396" s="1442"/>
      <c r="D396" s="1442"/>
      <c r="E396" s="1442"/>
      <c r="F396" s="1110">
        <v>0</v>
      </c>
      <c r="G396" s="1110">
        <v>0</v>
      </c>
      <c r="H396" s="1266"/>
      <c r="I396" s="1263"/>
      <c r="J396" s="1263"/>
      <c r="K396" s="1263"/>
      <c r="L396" s="1263"/>
      <c r="M396" s="1263"/>
      <c r="N396" s="1263"/>
      <c r="O396" s="1263"/>
      <c r="P396" s="1263"/>
      <c r="Q396" s="1263"/>
      <c r="R396" s="1263"/>
      <c r="S396" s="1263"/>
    </row>
    <row r="397" spans="2:19">
      <c r="B397" s="935"/>
      <c r="C397" s="995"/>
      <c r="D397" s="995"/>
      <c r="E397" s="923"/>
      <c r="F397" s="997"/>
      <c r="G397" s="833"/>
      <c r="H397" s="1266"/>
      <c r="I397" s="1263"/>
    </row>
    <row r="398" spans="2:19">
      <c r="B398" s="955" t="s">
        <v>1946</v>
      </c>
      <c r="C398" s="929"/>
      <c r="D398" s="929"/>
      <c r="E398" s="923"/>
      <c r="F398" s="820"/>
      <c r="G398" s="833"/>
      <c r="H398" s="1266"/>
      <c r="I398" s="1263"/>
    </row>
    <row r="399" spans="2:19">
      <c r="B399" s="998" t="s">
        <v>923</v>
      </c>
      <c r="C399" s="929"/>
      <c r="D399" s="929"/>
      <c r="E399" s="820"/>
      <c r="F399" s="930"/>
      <c r="G399" s="833"/>
      <c r="H399" s="1266"/>
      <c r="I399" s="1263"/>
    </row>
    <row r="400" spans="2:19">
      <c r="B400" s="935" t="s">
        <v>924</v>
      </c>
      <c r="C400" s="999"/>
      <c r="D400" s="999"/>
      <c r="E400" s="1174"/>
      <c r="F400" s="1000">
        <f>+'Term Loan'!D55</f>
        <v>6648561</v>
      </c>
      <c r="G400" s="831">
        <v>17650350</v>
      </c>
      <c r="H400" s="1266"/>
      <c r="I400" s="1263"/>
    </row>
    <row r="401" spans="1:19">
      <c r="B401" s="935" t="s">
        <v>925</v>
      </c>
      <c r="C401" s="999"/>
      <c r="D401" s="999"/>
      <c r="E401" s="1174"/>
      <c r="F401" s="1000">
        <f>+'Term Loan'!K55</f>
        <v>130397</v>
      </c>
      <c r="G401" s="831">
        <v>928040</v>
      </c>
      <c r="H401" s="1266"/>
      <c r="I401" s="1263"/>
    </row>
    <row r="402" spans="1:19">
      <c r="B402" s="935" t="s">
        <v>926</v>
      </c>
      <c r="C402" s="999"/>
      <c r="D402" s="999"/>
      <c r="E402" s="820"/>
      <c r="F402" s="1001">
        <f>+GETPIVOTDATA("Sum of CR-March 20",Pivot!$A$3,"PARTICULARS","Interest Payable","Note",8,"BS Main Head","Other Current Liabilities","BS Sub Head","Other Current Liabilities")</f>
        <v>574034.93999999994</v>
      </c>
      <c r="G402" s="945">
        <v>262026</v>
      </c>
      <c r="H402" s="1271"/>
      <c r="I402" s="1263"/>
    </row>
    <row r="403" spans="1:19">
      <c r="B403" s="852" t="s">
        <v>927</v>
      </c>
      <c r="C403" s="999"/>
      <c r="D403" s="999"/>
      <c r="E403" s="1002"/>
      <c r="F403" s="1003">
        <f>+GETPIVOTDATA("Sum of CR-March 20",Pivot!$A$3,"Note",8,"BS Main Head","Other Current Liabilities","BS Sub Head","Trade Payables for capital goods")-GETPIVOTDATA("Sum of DR-March 20",Pivot!$A$3,"Note",8,"BS Main Head","Other Current Liabilities","BS Sub Head","Trade Payables for capital goods")</f>
        <v>0</v>
      </c>
      <c r="G403" s="831">
        <f>+GETPIVOTDATA("Sum of CR-DEC 19",Pivot!$A$3,"Note",8,"BS Main Head","Other Current Liabilities","BS Sub Head","Trade Payables for capital goods")</f>
        <v>775995</v>
      </c>
      <c r="H403" s="1264"/>
      <c r="I403" s="1263"/>
    </row>
    <row r="404" spans="1:19">
      <c r="B404" s="852" t="s">
        <v>712</v>
      </c>
      <c r="C404" s="999"/>
      <c r="D404" s="999"/>
      <c r="E404" s="1002"/>
      <c r="F404" s="1003">
        <v>0</v>
      </c>
      <c r="G404" s="831">
        <f>+GETPIVOTDATA("Sum of CR-DEC 19",Pivot!$A$3,"Note",8,"BS Main Head","Other Current Liabilities","BS Sub Head","Dividend Payable")</f>
        <v>192300</v>
      </c>
      <c r="H404" s="1264"/>
      <c r="I404" s="1263"/>
    </row>
    <row r="405" spans="1:19">
      <c r="B405" s="852" t="s">
        <v>1979</v>
      </c>
      <c r="C405" s="999"/>
      <c r="D405" s="999"/>
      <c r="E405" s="1002"/>
      <c r="F405" s="1003">
        <f>+GETPIVOTDATA("Sum of CR-March 20",Pivot!$A$3,"Note",8,"BS Main Head","Other Current Liabilities","BS Sub Head","Dividend Payable")</f>
        <v>84300</v>
      </c>
      <c r="G405" s="831">
        <v>0</v>
      </c>
      <c r="H405" s="1264"/>
      <c r="I405" s="1263"/>
    </row>
    <row r="406" spans="1:19">
      <c r="B406" s="1173" t="s">
        <v>711</v>
      </c>
      <c r="C406" s="999"/>
      <c r="D406" s="999"/>
      <c r="E406" s="1002"/>
      <c r="F406" s="1003">
        <f>+GETPIVOTDATA("Sum of CR-March 20",Pivot!$A$3,"Note",8,"BS Main Head","Other Current Liabilities","BS Sub Head","Employee Payables")</f>
        <v>803704</v>
      </c>
      <c r="G406" s="831">
        <f>+GETPIVOTDATA("Sum of CR-DEC 19",Pivot!$A$3,"Note",8,"BS Main Head","Other Current Liabilities","BS Sub Head","Employee Payables")</f>
        <v>790876</v>
      </c>
      <c r="H406" s="1264"/>
      <c r="I406" s="1263"/>
    </row>
    <row r="407" spans="1:19">
      <c r="B407" s="1004"/>
      <c r="C407" s="999"/>
      <c r="D407" s="999"/>
      <c r="E407" s="820"/>
      <c r="F407" s="1110">
        <f>+SUM(F400:F406)</f>
        <v>8240996.9399999995</v>
      </c>
      <c r="G407" s="1110">
        <f>+SUM(G400:G406)</f>
        <v>20599587</v>
      </c>
      <c r="H407" s="1266"/>
      <c r="I407" s="1263"/>
    </row>
    <row r="408" spans="1:19">
      <c r="B408" s="955" t="s">
        <v>1947</v>
      </c>
      <c r="C408" s="999"/>
      <c r="D408" s="999"/>
      <c r="E408" s="820"/>
      <c r="F408" s="930"/>
      <c r="G408" s="833"/>
      <c r="H408" s="1266"/>
      <c r="I408" s="1263"/>
    </row>
    <row r="409" spans="1:19">
      <c r="B409" s="1005" t="s">
        <v>603</v>
      </c>
      <c r="C409" s="999"/>
      <c r="D409" s="999"/>
      <c r="E409" s="1002"/>
      <c r="F409" s="1003">
        <f>+GETPIVOTDATA("Sum of CR-March 20",Pivot!$A$3,"Note",8,"BS Main Head","Other Current Liabilities","BS Sub Head","Statutory Dues")-GETPIVOTDATA("Sum of DR-March 20",Pivot!$A$3,"Note",8,"BS Main Head","Other Current Liabilities","BS Sub Head","Statutory Dues")</f>
        <v>537842.43999999994</v>
      </c>
      <c r="G409" s="831">
        <f>+GETPIVOTDATA("Sum of CR-DEC 19",Pivot!$A$3,"Note",8,"BS Main Head","Other Current Liabilities","BS Sub Head","Statutory Dues")-GETPIVOTDATA("Sum of DR-DEC 19",Pivot!$A$3,"Note",8,"BS Main Head","Other Current Liabilities","BS Sub Head","Statutory Dues")</f>
        <v>539205.43999999994</v>
      </c>
      <c r="H409" s="1264"/>
      <c r="I409" s="1263"/>
    </row>
    <row r="410" spans="1:19">
      <c r="B410" s="1004"/>
      <c r="C410" s="999"/>
      <c r="D410" s="999"/>
      <c r="E410" s="820"/>
      <c r="F410" s="1110">
        <f>+SUM(F409)</f>
        <v>537842.43999999994</v>
      </c>
      <c r="G410" s="1110">
        <f>+SUM(G409)</f>
        <v>539205.43999999994</v>
      </c>
      <c r="H410" s="1266"/>
      <c r="I410" s="1263"/>
    </row>
    <row r="411" spans="1:19">
      <c r="B411" s="955" t="s">
        <v>2001</v>
      </c>
      <c r="C411" s="999"/>
      <c r="D411" s="999"/>
      <c r="E411" s="820"/>
      <c r="F411" s="930"/>
      <c r="G411" s="1141"/>
      <c r="H411" s="1266"/>
      <c r="I411" s="1263"/>
    </row>
    <row r="412" spans="1:19">
      <c r="B412" s="1006" t="s">
        <v>928</v>
      </c>
      <c r="C412" s="999"/>
      <c r="D412" s="999"/>
      <c r="E412" s="820"/>
      <c r="F412" s="831">
        <f>+F99-GETPIVOTDATA("Sum of DR-March 20",Pivot!$A$3,"PARTICULARS","Advance Income Tax (A.Y. 2020-21)","Note",12,"BS Main Head","Long Term Loans &amp; Advances","BS Sub Head","Advance Income Tax")-GETPIVOTDATA("Sum of DR-March 20",Pivot!$A$3,"PARTICULARS","TDS (A. Y. 2020-21)","Note",12,"BS Main Head","Long Term Loans &amp; Advances","BS Sub Head","Advance Income Tax")-GETPIVOTDATA("Sum of DR-March 20",Pivot!$A$3,"PARTICULARS","T.C.S. (A.Y.2020-21)","Note",12,"BS Main Head","Long Term Loans &amp; Advances","BS Sub Head","Advance Income Tax")-Computation!I83</f>
        <v>0.18028793297708035</v>
      </c>
      <c r="G412" s="831">
        <f>+G99-GETPIVOTDATA("Sum of DR-DEC 19",Pivot!$A$3,"PARTICULARS","Advance Income Tax (A.Y. 2019-20)","Note",12,"BS Main Head","Long Term Loans &amp; Advances","BS Sub Head","Advance Income Tax")-GETPIVOTDATA("Sum of DR-DEC 19",Pivot!$A$3,"PARTICULARS","TDS  (A. Y. 2019-20)","Note",12,"BS Main Head","Long Term Loans &amp; Advances","BS Sub Head","Advance Income Tax")-2326918</f>
        <v>1488650.421267949</v>
      </c>
      <c r="H412" s="1264"/>
      <c r="I412" s="1263"/>
      <c r="J412" s="1263">
        <f>-Computation!I83</f>
        <v>-655513</v>
      </c>
    </row>
    <row r="413" spans="1:19">
      <c r="B413" s="981" t="s">
        <v>1941</v>
      </c>
      <c r="C413" s="1007"/>
      <c r="D413" s="1007"/>
      <c r="E413" s="1008"/>
      <c r="F413" s="831">
        <f>+GETPIVOTDATA("Sum of CR-March 20",Pivot!$A$3,"PARTICULARS","Leave Encashment Payable","Note",9,"BS Main Head","Short Term Provision","BS Sub Head","Provision for Employee Benefit")+GETPIVOTDATA("Sum of CR-March 20",Pivot!$A$3,"PARTICULARS","Incentive/ Bonus Payable","Note",9,"BS Main Head","Short Term Provision","BS Sub Head","Provision for Employee Benefit")</f>
        <v>1454879</v>
      </c>
      <c r="G413" s="831">
        <f>+GETPIVOTDATA("Sum of CR-DEC 19",Pivot!$A$3,"PARTICULARS","Leave Encashment Payable","Note",9,"BS Main Head","Short Term Provision","BS Sub Head","Provision for Employee Benefit")+GETPIVOTDATA("Sum of CR-DEC 19",Pivot!$A$3,"PARTICULARS","Incentive/ Bonus Payable","Note",9,"BS Main Head","Short Term Provision","BS Sub Head","Provision for Employee Benefit")</f>
        <v>1450129</v>
      </c>
      <c r="H413" s="1264"/>
      <c r="I413" s="1263"/>
    </row>
    <row r="414" spans="1:19">
      <c r="B414" s="981" t="s">
        <v>2059</v>
      </c>
      <c r="C414" s="1007"/>
      <c r="D414" s="1007"/>
      <c r="E414" s="1008"/>
      <c r="F414" s="831">
        <v>1670270</v>
      </c>
      <c r="G414" s="831">
        <v>1603900</v>
      </c>
      <c r="H414" s="1264"/>
      <c r="I414" s="1263"/>
    </row>
    <row r="415" spans="1:19">
      <c r="B415" s="1194"/>
      <c r="C415" s="1195"/>
      <c r="D415" s="1195"/>
      <c r="E415" s="986"/>
      <c r="F415" s="1110">
        <f>+SUM(F412:F414)</f>
        <v>3125149.180287933</v>
      </c>
      <c r="G415" s="1110">
        <f>+SUM(G412:G414)</f>
        <v>4542679.421267949</v>
      </c>
      <c r="H415" s="1266"/>
      <c r="I415" s="1263"/>
    </row>
    <row r="416" spans="1:19" s="858" customFormat="1">
      <c r="A416" s="818"/>
      <c r="B416" s="1420" t="s">
        <v>750</v>
      </c>
      <c r="C416" s="1421"/>
      <c r="D416" s="1421"/>
      <c r="E416" s="1421"/>
      <c r="F416" s="1421"/>
      <c r="G416" s="1421"/>
      <c r="H416" s="1292"/>
      <c r="I416" s="1263"/>
      <c r="J416" s="1278"/>
      <c r="K416" s="1278"/>
      <c r="L416" s="1278"/>
      <c r="M416" s="1278"/>
      <c r="N416" s="1278"/>
      <c r="O416" s="1278"/>
      <c r="P416" s="1278"/>
      <c r="Q416" s="1278"/>
      <c r="R416" s="1278"/>
      <c r="S416" s="1278"/>
    </row>
    <row r="417" spans="2:9">
      <c r="B417" s="1420" t="s">
        <v>1299</v>
      </c>
      <c r="C417" s="1421"/>
      <c r="D417" s="1421"/>
      <c r="E417" s="1421"/>
      <c r="F417" s="1421"/>
      <c r="G417" s="1421"/>
      <c r="H417" s="1293"/>
      <c r="I417" s="1263"/>
    </row>
    <row r="418" spans="2:9">
      <c r="B418" s="1126" t="s">
        <v>546</v>
      </c>
      <c r="C418" s="886"/>
      <c r="D418" s="886"/>
      <c r="E418" s="887"/>
      <c r="F418" s="1115" t="s">
        <v>2008</v>
      </c>
      <c r="G418" s="1115" t="s">
        <v>2008</v>
      </c>
      <c r="H418" s="1294"/>
      <c r="I418" s="1263"/>
    </row>
    <row r="419" spans="2:9">
      <c r="B419" s="888"/>
      <c r="C419" s="889"/>
      <c r="D419" s="889"/>
      <c r="E419" s="856"/>
      <c r="F419" s="825" t="s">
        <v>2004</v>
      </c>
      <c r="G419" s="825" t="s">
        <v>2005</v>
      </c>
      <c r="H419" s="1294"/>
      <c r="I419" s="1263"/>
    </row>
    <row r="420" spans="2:9">
      <c r="B420" s="955" t="s">
        <v>1948</v>
      </c>
      <c r="C420" s="851"/>
      <c r="D420" s="851"/>
      <c r="E420" s="837"/>
      <c r="F420" s="830"/>
      <c r="G420" s="833"/>
      <c r="H420" s="1294"/>
      <c r="I420" s="1263"/>
    </row>
    <row r="421" spans="2:9">
      <c r="B421" s="928" t="s">
        <v>929</v>
      </c>
      <c r="C421" s="851"/>
      <c r="D421" s="851"/>
      <c r="E421" s="837"/>
      <c r="F421" s="830"/>
      <c r="G421" s="833"/>
      <c r="H421" s="1294"/>
      <c r="I421" s="1263"/>
    </row>
    <row r="422" spans="2:9">
      <c r="B422" s="1009" t="s">
        <v>2062</v>
      </c>
      <c r="C422" s="851"/>
      <c r="D422" s="851"/>
      <c r="E422" s="837"/>
      <c r="F422" s="831">
        <f>+GETPIVOTDATA("Sum of CR-March 20",Pivot!$A$3,"Note",19,"BS Main Head","Revenue From Operations","BS Sub Head","Sale of Goods - Manufacturing Sales")-GETPIVOTDATA("Sum of DR-March 20",Pivot!$A$3,"Note",19,"BS Main Head","Revenue From Operations","BS Sub Head","Sale of Goods - Manufacturing Sales")-F434</f>
        <v>688047763.5999999</v>
      </c>
      <c r="G422" s="831">
        <f>+GETPIVOTDATA("Sum of CR-DEC 19",Pivot!$A$3,"Note",19,"BS Main Head","Revenue From Operations","BS Sub Head","Sale of Goods - Manufacturing Sales")-GETPIVOTDATA("Sum of DR-DEC 19",Pivot!$A$3,"Note",19,"BS Main Head","Revenue From Operations","BS Sub Head","Sale of Goods - Manufacturing Sales")</f>
        <v>796204612.33000004</v>
      </c>
      <c r="H422" s="1294"/>
      <c r="I422" s="1263"/>
    </row>
    <row r="423" spans="2:9">
      <c r="B423" s="1010" t="s">
        <v>1983</v>
      </c>
      <c r="C423" s="851"/>
      <c r="D423" s="851"/>
      <c r="E423" s="837"/>
      <c r="F423" s="974">
        <v>1234765</v>
      </c>
      <c r="G423" s="974">
        <v>0</v>
      </c>
      <c r="H423" s="1294"/>
      <c r="I423" s="1263"/>
    </row>
    <row r="424" spans="2:9">
      <c r="B424" s="1010"/>
      <c r="C424" s="851"/>
      <c r="D424" s="851"/>
      <c r="E424" s="837"/>
      <c r="F424" s="833">
        <f>+SUM(F422:F423)</f>
        <v>689282528.5999999</v>
      </c>
      <c r="G424" s="833">
        <f>+SUM(G422:G423)</f>
        <v>796204612.33000004</v>
      </c>
      <c r="H424" s="1294"/>
      <c r="I424" s="1263"/>
    </row>
    <row r="425" spans="2:9">
      <c r="B425" s="1011" t="s">
        <v>1982</v>
      </c>
      <c r="C425" s="851"/>
      <c r="D425" s="851"/>
      <c r="E425" s="837"/>
      <c r="F425" s="831"/>
      <c r="G425" s="831"/>
      <c r="H425" s="1294"/>
      <c r="I425" s="1263"/>
    </row>
    <row r="426" spans="2:9">
      <c r="B426" s="1010" t="s">
        <v>1984</v>
      </c>
      <c r="C426" s="851"/>
      <c r="D426" s="851"/>
      <c r="E426" s="837"/>
      <c r="F426" s="831">
        <f>+GETPIVOTDATA("Sum of CR-March 20",Pivot!$A$3,"PARTICULARS","Profit on Sales Tax Under P.S.I.Scheme","Note",20,"BS Main Head","Other Income","BS Sub Head","Other Income")</f>
        <v>9443500</v>
      </c>
      <c r="G426" s="831">
        <f>+GETPIVOTDATA("Sum of CR-DEC 19",Pivot!$A$3,"PARTICULARS","Profit on Sales Tax Under P.S.I.Scheme","Note",20,"BS Main Head","Other Income","BS Sub Head","Other Income")</f>
        <v>9443500</v>
      </c>
      <c r="H426" s="1294"/>
      <c r="I426" s="1263"/>
    </row>
    <row r="427" spans="2:9">
      <c r="B427" s="1012"/>
      <c r="C427" s="851"/>
      <c r="D427" s="851"/>
      <c r="E427" s="837"/>
      <c r="F427" s="831"/>
      <c r="G427" s="831"/>
      <c r="H427" s="1294"/>
      <c r="I427" s="1263"/>
    </row>
    <row r="428" spans="2:9">
      <c r="B428" s="939"/>
      <c r="C428" s="851"/>
      <c r="D428" s="851"/>
      <c r="E428" s="837"/>
      <c r="F428" s="1110">
        <f>+F424+F426</f>
        <v>698726028.5999999</v>
      </c>
      <c r="G428" s="1110">
        <f>+G424+G426</f>
        <v>805648112.33000004</v>
      </c>
      <c r="H428" s="1294"/>
      <c r="I428" s="1263"/>
    </row>
    <row r="429" spans="2:9">
      <c r="B429" s="921" t="s">
        <v>1949</v>
      </c>
      <c r="C429" s="851"/>
      <c r="D429" s="851"/>
      <c r="E429" s="820"/>
      <c r="F429" s="930"/>
      <c r="G429" s="831"/>
      <c r="H429" s="1294"/>
      <c r="I429" s="1263"/>
    </row>
    <row r="430" spans="2:9" hidden="1">
      <c r="B430" s="852" t="s">
        <v>930</v>
      </c>
      <c r="C430" s="819"/>
      <c r="D430" s="819"/>
      <c r="E430" s="820"/>
      <c r="F430" s="930"/>
      <c r="G430" s="831">
        <v>0</v>
      </c>
      <c r="H430" s="1294"/>
      <c r="I430" s="1263"/>
    </row>
    <row r="431" spans="2:9">
      <c r="B431" s="852" t="s">
        <v>931</v>
      </c>
      <c r="C431" s="819"/>
      <c r="D431" s="819"/>
      <c r="E431" s="820"/>
      <c r="F431" s="831">
        <f>+GETPIVOTDATA("Sum of CR-March 20",Pivot!$A$3,"Note",20,"BS Main Head","Other Income","BS Sub Head","Foreign Exchange Fluctuation Gain on RM")</f>
        <v>588805</v>
      </c>
      <c r="G431" s="831">
        <f>+GETPIVOTDATA("Sum of CR-DEC 19",Pivot!$A$3,"Note",20,"BS Main Head","Other Income","BS Sub Head","Foreign Exchange Fluctuation Gain on RM")</f>
        <v>772877</v>
      </c>
      <c r="H431" s="1293"/>
      <c r="I431" s="1263"/>
    </row>
    <row r="432" spans="2:9" hidden="1">
      <c r="B432" s="852" t="s">
        <v>932</v>
      </c>
      <c r="C432" s="819"/>
      <c r="D432" s="819"/>
      <c r="E432" s="820"/>
      <c r="F432" s="831"/>
      <c r="G432" s="831">
        <v>0</v>
      </c>
      <c r="H432" s="1294"/>
      <c r="I432" s="1263"/>
    </row>
    <row r="433" spans="2:18" hidden="1">
      <c r="B433" s="852" t="s">
        <v>933</v>
      </c>
      <c r="C433" s="819"/>
      <c r="D433" s="819"/>
      <c r="E433" s="820"/>
      <c r="F433" s="831"/>
      <c r="G433" s="831">
        <v>0</v>
      </c>
      <c r="H433" s="1294"/>
      <c r="I433" s="1263"/>
    </row>
    <row r="434" spans="2:18">
      <c r="B434" s="852" t="s">
        <v>1985</v>
      </c>
      <c r="C434" s="819"/>
      <c r="D434" s="819"/>
      <c r="E434" s="820"/>
      <c r="F434" s="831">
        <v>246110</v>
      </c>
      <c r="G434" s="831">
        <v>0</v>
      </c>
      <c r="H434" s="1294"/>
      <c r="I434" s="1263"/>
    </row>
    <row r="435" spans="2:18">
      <c r="B435" s="852" t="s">
        <v>935</v>
      </c>
      <c r="C435" s="819"/>
      <c r="D435" s="819"/>
      <c r="E435" s="820"/>
      <c r="F435" s="831">
        <f>+GETPIVOTDATA("Sum of CR-March 20",Pivot!$A$3,"Note",20,"BS Main Head","Other Income","BS Sub Head","Assessment Refund")+GETPIVOTDATA("Sum of CR-March 20",Pivot!$A$3,"Note",20,"BS Main Head","Other Income","BS Sub Head","Profit on Sale of Asset")+GETPIVOTDATA("Sum of CR-March 20",Pivot!$A$3,"PARTICULARS","Other Income","Note",20,"BS Main Head","Other Income","BS Sub Head","Other Income")+GETPIVOTDATA("Sum of CR-March 20",Pivot!$A$3,"PARTICULARS","Provision of Earlier Year","Note",20,"BS Main Head","Other Income","BS Sub Head","Other Income")</f>
        <v>33919</v>
      </c>
      <c r="G435" s="831">
        <f>+GETPIVOTDATA("Sum of CR-DEC 19",Pivot!$A$3,"PARTICULARS","Profit on Sale of Asset","Note",20,"BS Main Head","Other Income","BS Sub Head","Profit on Sale of Asset")+GETPIVOTDATA("Sum of CR-DEC 19",Pivot!$A$3,"Note",20,"BS Main Head","Other Income","BS Sub Head","Assessment Refund")</f>
        <v>0</v>
      </c>
      <c r="H435" s="1294"/>
      <c r="I435" s="1263"/>
    </row>
    <row r="436" spans="2:18">
      <c r="B436" s="852" t="s">
        <v>936</v>
      </c>
      <c r="C436" s="819"/>
      <c r="D436" s="819"/>
      <c r="E436" s="820"/>
      <c r="F436" s="831">
        <f>+GETPIVOTDATA("Sum of CR-March 20",Pivot!$A$3,"Note",20,"BS Main Head","Other Income","BS Sub Head","Interest Received")+GETPIVOTDATA("Sum of CR-March 20",Pivot!$A$3,"PARTICULARS","Interest Accured On Deposit","Note",20,"BS Main Head","Other Income","BS Sub Head","Other Income")</f>
        <v>169041</v>
      </c>
      <c r="G436" s="960">
        <f>+GETPIVOTDATA("Sum of CR-DEC 19",Pivot!$A$3,"Note",20,"BS Main Head","Other Income","BS Sub Head","Interest Received")+GETPIVOTDATA("Sum of CR-DEC 19",Pivot!$A$3,"PARTICULARS","Interest on VAT A.Y. 14-15","Note",20,"BS Main Head","Other Income","BS Sub Head","Other Income")</f>
        <v>230579.05</v>
      </c>
      <c r="H436" s="1293"/>
      <c r="I436" s="1263"/>
    </row>
    <row r="437" spans="2:18" ht="19.5" thickBot="1">
      <c r="B437" s="852"/>
      <c r="C437" s="819"/>
      <c r="D437" s="819"/>
      <c r="E437" s="820"/>
      <c r="F437" s="927">
        <f>+SUM(F431:F436)</f>
        <v>1037875</v>
      </c>
      <c r="G437" s="927">
        <f>+SUM(G431:G436)</f>
        <v>1003456.05</v>
      </c>
      <c r="H437" s="1294"/>
      <c r="I437" s="1263"/>
    </row>
    <row r="438" spans="2:18" ht="19.5" thickTop="1">
      <c r="B438" s="921" t="s">
        <v>1950</v>
      </c>
      <c r="C438" s="922"/>
      <c r="D438" s="922"/>
      <c r="E438" s="820"/>
      <c r="F438" s="831"/>
      <c r="G438" s="831"/>
      <c r="H438" s="1294"/>
      <c r="I438" s="1263"/>
    </row>
    <row r="439" spans="2:18">
      <c r="B439" s="852" t="s">
        <v>18</v>
      </c>
      <c r="C439" s="819"/>
      <c r="D439" s="819"/>
      <c r="E439" s="820"/>
      <c r="F439" s="831">
        <f>+G442</f>
        <v>28527546.25</v>
      </c>
      <c r="G439" s="831">
        <v>25173512</v>
      </c>
      <c r="H439" s="1294"/>
      <c r="I439" s="1263"/>
    </row>
    <row r="440" spans="2:18">
      <c r="B440" s="852" t="s">
        <v>937</v>
      </c>
      <c r="C440" s="819"/>
      <c r="D440" s="819"/>
      <c r="E440" s="822"/>
      <c r="F440" s="974">
        <f>+GETPIVOTDATA("Sum of DR-March 20",Pivot!$A$3,"Note",22,"BS Main Head","Raw Material Consumed","BS Sub Head","Raw Material Purchase")</f>
        <v>451158300.49000001</v>
      </c>
      <c r="G440" s="974">
        <f>+GETPIVOTDATA("Sum of DR-DEC 19",Pivot!$A$3,"Note",22,"BS Main Head","Raw Material Consumed")</f>
        <v>491501564.92999995</v>
      </c>
      <c r="H440" s="1294"/>
      <c r="I440" s="1263"/>
    </row>
    <row r="441" spans="2:18">
      <c r="B441" s="852"/>
      <c r="C441" s="819"/>
      <c r="D441" s="819"/>
      <c r="E441" s="820"/>
      <c r="F441" s="833">
        <f>+SUM(F439:F440)</f>
        <v>479685846.74000001</v>
      </c>
      <c r="G441" s="833">
        <f>+SUM(G439:G440)</f>
        <v>516675076.92999995</v>
      </c>
      <c r="H441" s="1294"/>
      <c r="I441" s="1263"/>
    </row>
    <row r="442" spans="2:18">
      <c r="B442" s="852" t="s">
        <v>938</v>
      </c>
      <c r="C442" s="819"/>
      <c r="D442" s="819"/>
      <c r="E442" s="820"/>
      <c r="F442" s="831">
        <f>+'CLOSING STOCK 31-03-20'!Q38+'CLOSING STOCK 31-03-20'!Q42</f>
        <v>46809782.421285272</v>
      </c>
      <c r="G442" s="831">
        <v>28527546.25</v>
      </c>
      <c r="H442" s="1294"/>
      <c r="I442" s="1263"/>
    </row>
    <row r="443" spans="2:18" ht="19.5" thickBot="1">
      <c r="B443" s="852"/>
      <c r="C443" s="1013"/>
      <c r="D443" s="1013"/>
      <c r="E443" s="1013"/>
      <c r="F443" s="927">
        <f>+F441-F442</f>
        <v>432876064.31871474</v>
      </c>
      <c r="G443" s="927">
        <f>+G441-G442</f>
        <v>488147530.67999995</v>
      </c>
      <c r="H443" s="1294"/>
      <c r="I443" s="1263"/>
      <c r="J443" s="1263">
        <v>0</v>
      </c>
    </row>
    <row r="444" spans="2:18" ht="19.5" thickTop="1">
      <c r="B444" s="921" t="s">
        <v>1951</v>
      </c>
      <c r="C444" s="922"/>
      <c r="D444" s="922"/>
      <c r="E444" s="1014"/>
      <c r="F444" s="1015"/>
      <c r="G444" s="831"/>
      <c r="H444" s="1294"/>
      <c r="I444" s="1263"/>
    </row>
    <row r="445" spans="2:18">
      <c r="B445" s="852" t="s">
        <v>18</v>
      </c>
      <c r="C445" s="819"/>
      <c r="D445" s="819"/>
      <c r="E445" s="820"/>
      <c r="F445" s="934">
        <f>+G446</f>
        <v>13538251.855289809</v>
      </c>
      <c r="G445" s="831">
        <v>9081966.5656224415</v>
      </c>
      <c r="H445" s="1294"/>
      <c r="I445" s="1263"/>
      <c r="J445" s="1354"/>
      <c r="K445" s="1354"/>
      <c r="L445" s="1354"/>
      <c r="M445" s="1354"/>
      <c r="N445" s="1354"/>
      <c r="O445" s="1354"/>
      <c r="P445" s="1354"/>
      <c r="Q445" s="1354"/>
      <c r="R445" s="1354"/>
    </row>
    <row r="446" spans="2:18">
      <c r="B446" s="852" t="s">
        <v>939</v>
      </c>
      <c r="C446" s="819"/>
      <c r="D446" s="819"/>
      <c r="E446" s="820"/>
      <c r="F446" s="934">
        <f>+'CLOSING STOCK 31-03-20'!Q49</f>
        <v>7851552.4746909877</v>
      </c>
      <c r="G446" s="831">
        <v>13538251.855289809</v>
      </c>
      <c r="H446" s="1294"/>
      <c r="I446" s="1263"/>
      <c r="J446" s="1354"/>
      <c r="K446" s="1354"/>
      <c r="L446" s="1354"/>
      <c r="M446" s="1354"/>
      <c r="N446" s="1354"/>
      <c r="O446" s="1354"/>
      <c r="P446" s="1354"/>
      <c r="Q446" s="1354"/>
      <c r="R446" s="1354"/>
    </row>
    <row r="447" spans="2:18" ht="19.5" thickBot="1">
      <c r="B447" s="852"/>
      <c r="C447" s="819"/>
      <c r="D447" s="819"/>
      <c r="E447" s="820"/>
      <c r="F447" s="1016">
        <f>+F445-F446</f>
        <v>5686699.3805988217</v>
      </c>
      <c r="G447" s="1016">
        <f>+G445-G446</f>
        <v>-4456285.2896673679</v>
      </c>
      <c r="H447" s="1294"/>
      <c r="I447" s="1263"/>
      <c r="J447" s="1355" t="s">
        <v>943</v>
      </c>
      <c r="K447" s="1355" t="s">
        <v>543</v>
      </c>
      <c r="L447" s="1355" t="s">
        <v>544</v>
      </c>
      <c r="M447" s="1355" t="s">
        <v>944</v>
      </c>
      <c r="N447" s="1355" t="s">
        <v>543</v>
      </c>
      <c r="O447" s="1355" t="s">
        <v>544</v>
      </c>
      <c r="P447" s="1355" t="s">
        <v>945</v>
      </c>
      <c r="Q447" s="1355" t="s">
        <v>543</v>
      </c>
      <c r="R447" s="1355" t="s">
        <v>544</v>
      </c>
    </row>
    <row r="448" spans="2:18" ht="19.5" thickTop="1">
      <c r="B448" s="921" t="s">
        <v>1952</v>
      </c>
      <c r="C448" s="922"/>
      <c r="D448" s="922"/>
      <c r="E448" s="820"/>
      <c r="F448" s="930"/>
      <c r="G448" s="869"/>
      <c r="H448" s="1294"/>
      <c r="I448" s="1263"/>
      <c r="J448" s="1355" t="s">
        <v>947</v>
      </c>
      <c r="K448" s="1355">
        <f>+GETPIVOTDATA("Sum of DR-March 20",Pivot!$A$3,"Note",26,"BS Main Head","Other Expenses","BS Sub Head","Manufacturing Expenses - Power &amp; Fuel Consumed")</f>
        <v>132169304.02</v>
      </c>
      <c r="L448" s="1355">
        <v>125760756</v>
      </c>
      <c r="M448" s="1355" t="s">
        <v>947</v>
      </c>
      <c r="N448" s="1355">
        <f>+GETPIVOTDATA("Sum of DR-March 20",Pivot!$A$3,"Note",26,"BS Main Head","Other Expenses","BS Sub Head","Manufacturing Expenses - Stores &amp; Spares Consumed")</f>
        <v>9155866.8599999994</v>
      </c>
      <c r="O448" s="1355">
        <f>+GETPIVOTDATA("Sum of DR-DEC 19",Pivot!$A$3,"Note",26,"BS Main Head","Other Expenses","BS Sub Head","Manufacturing Expenses - Stores &amp; Spares Consumed")</f>
        <v>8891025.9000000004</v>
      </c>
      <c r="P448" s="1355" t="s">
        <v>947</v>
      </c>
      <c r="Q448" s="1355">
        <f>+GETPIVOTDATA("Sum of DR-March 20",Pivot!$A$3,"Note",26,"BS Main Head","Other Expenses","BS Sub Head","Manufacturing Expenses - Packing Material Consumed")</f>
        <v>7664377.8099999996</v>
      </c>
      <c r="R448" s="1355">
        <v>7212009.8099999996</v>
      </c>
    </row>
    <row r="449" spans="2:18">
      <c r="B449" s="852" t="s">
        <v>580</v>
      </c>
      <c r="C449" s="819"/>
      <c r="D449" s="819"/>
      <c r="E449" s="946"/>
      <c r="F449" s="945">
        <f>+GETPIVOTDATA("Sum of DR-March 20",Pivot!$A$3,"Note",24,"BS Main Head","Employee Benefit Expenses","BS Sub Head","Salary &amp; Wages")</f>
        <v>19024629</v>
      </c>
      <c r="G449" s="869">
        <f>+GETPIVOTDATA("Sum of DR-DEC 19",Pivot!$A$3,"Note",24,"BS Main Head","Employee Benefit Expenses","BS Sub Head","Salary &amp; Wages")-GETPIVOTDATA("Sum of CR-DEC 19",Pivot!$A$3,"Note",24,"BS Main Head","Employee Benefit Expenses","BS Sub Head","Salary &amp; Wages")</f>
        <v>18948904</v>
      </c>
      <c r="H449" s="1294"/>
      <c r="I449" s="1263"/>
      <c r="J449" s="1355" t="s">
        <v>949</v>
      </c>
      <c r="K449" s="1355">
        <f>+L450</f>
        <v>1264539</v>
      </c>
      <c r="L449" s="1355">
        <v>3324510</v>
      </c>
      <c r="M449" s="1355" t="s">
        <v>949</v>
      </c>
      <c r="N449" s="1355">
        <f>+O450</f>
        <v>7318133</v>
      </c>
      <c r="O449" s="1355">
        <v>4792282</v>
      </c>
      <c r="P449" s="1355" t="s">
        <v>949</v>
      </c>
      <c r="Q449" s="1355">
        <f>+R450</f>
        <v>536457</v>
      </c>
      <c r="R449" s="1355">
        <v>425605</v>
      </c>
    </row>
    <row r="450" spans="2:18">
      <c r="B450" s="852" t="s">
        <v>638</v>
      </c>
      <c r="C450" s="819"/>
      <c r="D450" s="819"/>
      <c r="E450" s="820"/>
      <c r="F450" s="934">
        <f>+GETPIVOTDATA("Sum of DR-March 20",Pivot!$A$3,"Note",24,"BS Main Head","Employee Benefit Expenses","BS Sub Head","Contribution to Funds")+F513</f>
        <v>2072611</v>
      </c>
      <c r="G450" s="831">
        <f>+GETPIVOTDATA("Sum of DR-DEC 19",Pivot!$A$3,"Note",24,"BS Main Head","Employee Benefit Expenses","BS Sub Head","Contribution to Funds")+G513</f>
        <v>2025184</v>
      </c>
      <c r="H450" s="1294"/>
      <c r="I450" s="1263"/>
      <c r="J450" s="1355" t="s">
        <v>950</v>
      </c>
      <c r="K450" s="1355">
        <f>+'CLOSING STOCK 31-03-20'!Q45</f>
        <v>2340378</v>
      </c>
      <c r="L450" s="1355">
        <v>1264539</v>
      </c>
      <c r="M450" s="1355" t="s">
        <v>950</v>
      </c>
      <c r="N450" s="1355">
        <f>+'CLOSING STOCK 31-03-20'!Q51</f>
        <v>10405893</v>
      </c>
      <c r="O450" s="1355">
        <v>7318133</v>
      </c>
      <c r="P450" s="1355" t="s">
        <v>950</v>
      </c>
      <c r="Q450" s="1355">
        <f>+'CLOSING STOCK 31-03-20'!Q40</f>
        <v>415906</v>
      </c>
      <c r="R450" s="1355">
        <v>536457</v>
      </c>
    </row>
    <row r="451" spans="2:18">
      <c r="B451" s="852" t="s">
        <v>675</v>
      </c>
      <c r="C451" s="819"/>
      <c r="D451" s="819"/>
      <c r="E451" s="820"/>
      <c r="F451" s="969">
        <f>+GETPIVOTDATA("Sum of DR-March 20",Pivot!$A$3,"Note",24,"BS Main Head","Employee Benefit Expenses","BS Sub Head","Staff Welfare Expenses")</f>
        <v>239427</v>
      </c>
      <c r="G451" s="831">
        <f>+GETPIVOTDATA("Sum of DR-DEC 19",Pivot!$A$3,"Note",24,"BS Main Head","Employee Benefit Expenses","BS Sub Head","Staff Welfare Expenses")</f>
        <v>448302</v>
      </c>
      <c r="H451" s="1294"/>
      <c r="I451" s="1263"/>
      <c r="J451" s="1356"/>
      <c r="K451" s="1356"/>
      <c r="L451" s="1356"/>
      <c r="M451" s="1356"/>
      <c r="N451" s="1356"/>
      <c r="O451" s="1356"/>
      <c r="P451" s="1356"/>
      <c r="Q451" s="1356"/>
      <c r="R451" s="1356"/>
    </row>
    <row r="452" spans="2:18" ht="19.5" thickBot="1">
      <c r="B452" s="852"/>
      <c r="C452" s="819"/>
      <c r="D452" s="819"/>
      <c r="E452" s="820"/>
      <c r="F452" s="927">
        <f>+SUM(F449:F451)</f>
        <v>21336667</v>
      </c>
      <c r="G452" s="927">
        <f>+SUM(G449:G451)</f>
        <v>21422390</v>
      </c>
      <c r="H452" s="1294"/>
      <c r="I452" s="1263"/>
      <c r="J452" s="1355"/>
      <c r="K452" s="1355">
        <f>+K448+K449-K450</f>
        <v>131093465.02</v>
      </c>
      <c r="L452" s="1355">
        <f>+L448+L449-L450</f>
        <v>127820727</v>
      </c>
      <c r="M452" s="1355"/>
      <c r="N452" s="1355">
        <f>+N448+N449-N450</f>
        <v>6068106.8599999994</v>
      </c>
      <c r="O452" s="1355">
        <f>+O448+O449-O450</f>
        <v>6365174.9000000004</v>
      </c>
      <c r="P452" s="1355"/>
      <c r="Q452" s="1355">
        <f>+Q448+Q449-Q450</f>
        <v>7784928.8099999996</v>
      </c>
      <c r="R452" s="1355">
        <f>+R448+R449-R450</f>
        <v>7101157.8099999996</v>
      </c>
    </row>
    <row r="453" spans="2:18" ht="19.5" thickTop="1">
      <c r="B453" s="921" t="s">
        <v>1953</v>
      </c>
      <c r="C453" s="922"/>
      <c r="D453" s="922"/>
      <c r="E453" s="820"/>
      <c r="F453" s="1017"/>
      <c r="G453" s="833"/>
      <c r="H453" s="1294"/>
      <c r="I453" s="1263"/>
      <c r="J453" s="1354"/>
      <c r="K453" s="1354"/>
      <c r="L453" s="1354"/>
      <c r="M453" s="1354"/>
      <c r="N453" s="1354"/>
      <c r="O453" s="1354"/>
      <c r="P453" s="1354"/>
      <c r="Q453" s="1354"/>
      <c r="R453" s="1354"/>
    </row>
    <row r="454" spans="2:18">
      <c r="B454" s="852" t="s">
        <v>660</v>
      </c>
      <c r="C454" s="819"/>
      <c r="D454" s="819"/>
      <c r="E454" s="894"/>
      <c r="F454" s="831">
        <f>+GETPIVOTDATA("Sum of DR-March 20",Pivot!$A$3,"Note",25,"BS Main Head","Finance Costs","BS Sub Head","Interest Expenses")</f>
        <v>9030452.9400000013</v>
      </c>
      <c r="G454" s="831">
        <f>+GETPIVOTDATA("Sum of DR-DEC 19",Pivot!$A$3,"Note",25,"BS Main Head","Finance Costs","BS Sub Head","Interest Expenses")</f>
        <v>13916819</v>
      </c>
      <c r="H454" s="1294"/>
      <c r="I454" s="1263"/>
      <c r="J454" s="1354"/>
      <c r="K454" s="1354"/>
      <c r="L454" s="1354"/>
      <c r="M454" s="1354"/>
      <c r="N454" s="1354"/>
      <c r="O454" s="1354"/>
      <c r="P454" s="1354"/>
      <c r="Q454" s="1354"/>
      <c r="R454" s="1354"/>
    </row>
    <row r="455" spans="2:18">
      <c r="B455" s="852" t="s">
        <v>940</v>
      </c>
      <c r="C455" s="819"/>
      <c r="D455" s="819"/>
      <c r="E455" s="894"/>
      <c r="F455" s="831">
        <f>+GETPIVOTDATA("Sum of DR-March 20",Pivot!$A$3,"Note",25,"BS Main Head","Finance Costs","BS Sub Head","Other Borrowing Costs")</f>
        <v>325908</v>
      </c>
      <c r="G455" s="974">
        <f>+GETPIVOTDATA("Sum of DR-DEC 19",Pivot!$A$3,"Note",25,"BS Main Head","Finance Costs","BS Sub Head","Other Borrowing Costs")</f>
        <v>459874.74</v>
      </c>
      <c r="H455" s="1294"/>
      <c r="I455" s="1263"/>
      <c r="J455" s="1354"/>
      <c r="K455" s="1354"/>
      <c r="L455" s="1354"/>
      <c r="M455" s="1354"/>
      <c r="N455" s="1354"/>
      <c r="O455" s="1354"/>
      <c r="P455" s="1354"/>
      <c r="Q455" s="1354"/>
      <c r="R455" s="1354"/>
    </row>
    <row r="456" spans="2:18">
      <c r="B456" s="852"/>
      <c r="C456" s="819"/>
      <c r="D456" s="819"/>
      <c r="E456" s="923"/>
      <c r="F456" s="1110">
        <f>+SUM(F454:F455)</f>
        <v>9356360.9400000013</v>
      </c>
      <c r="G456" s="1110">
        <f>+SUM(G454:G455)</f>
        <v>14376693.74</v>
      </c>
      <c r="H456" s="1294"/>
      <c r="I456" s="1263"/>
      <c r="J456" s="1354"/>
      <c r="K456" s="1354"/>
      <c r="L456" s="1354"/>
      <c r="M456" s="1354"/>
      <c r="N456" s="1354"/>
      <c r="O456" s="1354"/>
      <c r="P456" s="1354"/>
      <c r="Q456" s="1354"/>
      <c r="R456" s="1354"/>
    </row>
    <row r="457" spans="2:18" hidden="1">
      <c r="B457" s="1448" t="s">
        <v>750</v>
      </c>
      <c r="C457" s="1449"/>
      <c r="D457" s="1449"/>
      <c r="E457" s="1449"/>
      <c r="F457" s="1449"/>
      <c r="G457" s="1450"/>
      <c r="H457" s="1451"/>
      <c r="I457" s="1263"/>
      <c r="J457" s="1354"/>
      <c r="K457" s="1354"/>
      <c r="L457" s="1354"/>
      <c r="M457" s="1354"/>
      <c r="N457" s="1354"/>
      <c r="O457" s="1354"/>
      <c r="P457" s="1354"/>
      <c r="Q457" s="1354"/>
      <c r="R457" s="1354"/>
    </row>
    <row r="458" spans="2:18" hidden="1">
      <c r="B458" s="1448" t="s">
        <v>851</v>
      </c>
      <c r="C458" s="1449"/>
      <c r="D458" s="1449"/>
      <c r="E458" s="1449"/>
      <c r="F458" s="1449"/>
      <c r="G458" s="1449"/>
      <c r="H458" s="1452"/>
      <c r="I458" s="1263"/>
      <c r="J458" s="1354"/>
      <c r="K458" s="1354"/>
      <c r="L458" s="1354"/>
      <c r="M458" s="1354"/>
      <c r="N458" s="1354"/>
      <c r="O458" s="1354"/>
      <c r="P458" s="1354"/>
      <c r="Q458" s="1354"/>
      <c r="R458" s="1354"/>
    </row>
    <row r="459" spans="2:18">
      <c r="B459" s="921" t="s">
        <v>1954</v>
      </c>
      <c r="C459" s="922"/>
      <c r="D459" s="922"/>
      <c r="E459" s="923"/>
      <c r="F459" s="1115" t="s">
        <v>2008</v>
      </c>
      <c r="G459" s="1115" t="s">
        <v>2008</v>
      </c>
      <c r="H459" s="1294"/>
      <c r="I459" s="1263"/>
      <c r="J459" s="1354"/>
      <c r="K459" s="1354"/>
      <c r="L459" s="1354"/>
      <c r="M459" s="1354"/>
      <c r="N459" s="1354"/>
      <c r="O459" s="1354"/>
      <c r="P459" s="1354"/>
      <c r="Q459" s="1354"/>
      <c r="R459" s="1354"/>
    </row>
    <row r="460" spans="2:18">
      <c r="B460" s="939"/>
      <c r="C460" s="851"/>
      <c r="D460" s="851"/>
      <c r="E460" s="820"/>
      <c r="F460" s="825" t="s">
        <v>2004</v>
      </c>
      <c r="G460" s="825" t="s">
        <v>2005</v>
      </c>
      <c r="H460" s="1294"/>
      <c r="I460" s="1263"/>
    </row>
    <row r="461" spans="2:18">
      <c r="B461" s="939" t="s">
        <v>941</v>
      </c>
      <c r="C461" s="851"/>
      <c r="D461" s="851"/>
      <c r="E461" s="820"/>
      <c r="F461" s="860"/>
      <c r="G461" s="860"/>
      <c r="H461" s="1294"/>
      <c r="I461" s="1263"/>
    </row>
    <row r="462" spans="2:18">
      <c r="B462" s="896" t="s">
        <v>953</v>
      </c>
      <c r="C462" s="894"/>
      <c r="D462" s="894"/>
      <c r="E462" s="820"/>
      <c r="F462" s="831">
        <f>+GETPIVOTDATA("Sum of DR-March 20",Pivot!$A$3,"Note",26,"BS Main Head","Other Expenses","BS Sub Head","Manufacturing Expenses - Factory Expenses")</f>
        <v>4661821.3</v>
      </c>
      <c r="G462" s="831">
        <f>+GETPIVOTDATA("Sum of DR-DEC 19",Pivot!$A$3,"Note",26,"BS Main Head","Other Expenses","BS Sub Head","Manufacturing Expenses - Factory Expenses")-34600</f>
        <v>4531690.97</v>
      </c>
      <c r="H462" s="1294"/>
      <c r="I462" s="1263"/>
    </row>
    <row r="463" spans="2:18">
      <c r="B463" s="852" t="s">
        <v>951</v>
      </c>
      <c r="C463" s="819"/>
      <c r="D463" s="819"/>
      <c r="E463" s="820"/>
      <c r="F463" s="831">
        <f>+GETPIVOTDATA("Sum of DR-March 20",Pivot!$A$3,"Note",26,"BS Main Head","Other Expenses","BS Sub Head","Manufacturin Expenses - FG Packing &amp; Allied Chgs")</f>
        <v>2841598</v>
      </c>
      <c r="G463" s="831">
        <f>+GETPIVOTDATA("Sum of DR-DEC 19",Pivot!$A$3,"Note",26,"BS Main Head","Other Expenses","BS Sub Head","Manufacturin Expenses - FG Packing &amp; Allied Chgs")</f>
        <v>2585804</v>
      </c>
      <c r="H463" s="1294"/>
      <c r="I463" s="1263"/>
    </row>
    <row r="464" spans="2:18">
      <c r="B464" s="852" t="s">
        <v>948</v>
      </c>
      <c r="C464" s="1019"/>
      <c r="D464" s="1019"/>
      <c r="E464" s="820"/>
      <c r="F464" s="831">
        <f>+Q452</f>
        <v>7784928.8099999996</v>
      </c>
      <c r="G464" s="831">
        <f>+R452</f>
        <v>7101157.8099999996</v>
      </c>
      <c r="H464" s="1294"/>
      <c r="I464" s="1263"/>
    </row>
    <row r="465" spans="2:11">
      <c r="B465" s="852" t="s">
        <v>942</v>
      </c>
      <c r="C465" s="819"/>
      <c r="D465" s="819"/>
      <c r="E465" s="946"/>
      <c r="F465" s="1018">
        <f>+K452</f>
        <v>131093465.02</v>
      </c>
      <c r="G465" s="1018">
        <f>+L452</f>
        <v>127820727</v>
      </c>
      <c r="H465" s="1294"/>
      <c r="I465" s="1263"/>
    </row>
    <row r="466" spans="2:11">
      <c r="B466" s="852" t="s">
        <v>301</v>
      </c>
      <c r="C466" s="819"/>
      <c r="D466" s="819"/>
      <c r="E466" s="820"/>
      <c r="F466" s="945">
        <f>+GETPIVOTDATA("Sum of DR-March 20",Pivot!$A$3,"Note",26,"BS Main Head","Other Expenses","BS Sub Head","Manufacturin Expenses - RM Sorting Charges")</f>
        <v>4167429</v>
      </c>
      <c r="G466" s="831">
        <f>+GETPIVOTDATA("Sum of DR-DEC 19",Pivot!$A$3,"Note",26,"BS Main Head","Other Expenses","BS Sub Head","Manufacturin Expenses - RM Sorting Charges")</f>
        <v>4086715</v>
      </c>
      <c r="H466" s="1294"/>
      <c r="I466" s="1263"/>
    </row>
    <row r="467" spans="2:11">
      <c r="B467" s="1020" t="s">
        <v>960</v>
      </c>
      <c r="C467" s="819"/>
      <c r="D467" s="819"/>
      <c r="E467" s="820"/>
      <c r="F467" s="930"/>
      <c r="G467" s="831"/>
      <c r="H467" s="1294"/>
      <c r="I467" s="1263"/>
    </row>
    <row r="468" spans="2:11">
      <c r="B468" s="852" t="s">
        <v>1791</v>
      </c>
      <c r="C468" s="819"/>
      <c r="D468" s="819"/>
      <c r="E468" s="820"/>
      <c r="F468" s="934">
        <f>+GETPIVOTDATA("Sum of DR-March 20",Pivot!$A$3,"Note",26,"BS Main Head","Other Expenses","BS Sub Head","Manufacturing Expenses-Repairs &amp; Maintainence Machinery")</f>
        <v>13943254.359999999</v>
      </c>
      <c r="G468" s="831">
        <f>+GETPIVOTDATA("Sum of DR-DEC 19",Pivot!$A$3,"Note",26,"BS Main Head","Other Expenses","BS Sub Head","Manufacturing Expenses-Repairs &amp; Maintainence Machinery")</f>
        <v>20131464.579999998</v>
      </c>
      <c r="H468" s="1294"/>
      <c r="I468" s="1263"/>
    </row>
    <row r="469" spans="2:11">
      <c r="B469" s="852" t="s">
        <v>1790</v>
      </c>
      <c r="C469" s="819"/>
      <c r="D469" s="819"/>
      <c r="E469" s="894"/>
      <c r="F469" s="831">
        <f>+GETPIVOTDATA("Sum of DR-March 20",Pivot!$A$3,"Note",26,"BS Main Head","Other Expenses","BS Sub Head","Manufacturing Expenses-Repairs &amp; Maintainence Building")</f>
        <v>954273.6</v>
      </c>
      <c r="G469" s="831">
        <f>+GETPIVOTDATA("Sum of DR-DEC 19",Pivot!$A$3,"Note",26,"BS Main Head","Other Expenses","BS Sub Head","Manufacturing Expenses-Repairs &amp; Maintainence Building")</f>
        <v>2155685.31</v>
      </c>
      <c r="H469" s="1294"/>
      <c r="I469" s="1263"/>
    </row>
    <row r="470" spans="2:11">
      <c r="B470" s="852" t="s">
        <v>340</v>
      </c>
      <c r="C470" s="819"/>
      <c r="D470" s="819"/>
      <c r="E470" s="820"/>
      <c r="F470" s="831">
        <f>+GETPIVOTDATA("Sum of DR-March 20",Pivot!$A$3,"Note",26,"BS Main Head","Other Expenses","BS Sub Head","Manufacturing Expenses - Security Service Charges")</f>
        <v>689707</v>
      </c>
      <c r="G470" s="831">
        <f>+GETPIVOTDATA("Sum of DR-DEC 19",Pivot!$A$3,"Note",26,"BS Main Head","Other Expenses","BS Sub Head","Manufacturing Expenses - Security Service Charges")</f>
        <v>693091</v>
      </c>
      <c r="H470" s="1294"/>
      <c r="I470" s="1263"/>
    </row>
    <row r="471" spans="2:11">
      <c r="B471" s="852" t="s">
        <v>946</v>
      </c>
      <c r="C471" s="819"/>
      <c r="D471" s="819"/>
      <c r="E471" s="820"/>
      <c r="F471" s="831">
        <f>+N452</f>
        <v>6068106.8599999994</v>
      </c>
      <c r="G471" s="831">
        <f>+O452</f>
        <v>6365174.9000000004</v>
      </c>
      <c r="H471" s="1294"/>
      <c r="I471" s="1263"/>
    </row>
    <row r="472" spans="2:11">
      <c r="B472" s="896" t="s">
        <v>952</v>
      </c>
      <c r="C472" s="819"/>
      <c r="D472" s="819"/>
      <c r="E472" s="820"/>
      <c r="F472" s="831">
        <f>+GETPIVOTDATA("Sum of DR-March 20",Pivot!$A$3,"Note",26,"BS Main Head","Other Expenses","BS Sub Head","Manufacturing Expenses - Waste Paper Feeding Chgs")</f>
        <v>6659960</v>
      </c>
      <c r="G472" s="831">
        <f>+GETPIVOTDATA("Sum of DR-DEC 19",Pivot!$A$3,"Note",26,"BS Main Head","Other Expenses","BS Sub Head","Manufacturing Expenses - Waste Paper Feeding Chgs")</f>
        <v>6522638</v>
      </c>
      <c r="H472" s="1294"/>
      <c r="I472" s="1263"/>
    </row>
    <row r="473" spans="2:11">
      <c r="B473" s="852"/>
      <c r="C473" s="819"/>
      <c r="D473" s="819"/>
      <c r="E473" s="907" t="s">
        <v>954</v>
      </c>
      <c r="F473" s="1110">
        <f>+SUM(F462:F472)</f>
        <v>178864543.94999999</v>
      </c>
      <c r="G473" s="1110">
        <f>+SUM(G462:G472)</f>
        <v>181994148.57000002</v>
      </c>
      <c r="H473" s="1294"/>
      <c r="I473" s="1263"/>
      <c r="J473" s="1354">
        <v>178864543.95000002</v>
      </c>
      <c r="K473" s="1354">
        <v>181994148.57000002</v>
      </c>
    </row>
    <row r="474" spans="2:11">
      <c r="B474" s="924" t="s">
        <v>955</v>
      </c>
      <c r="C474" s="851"/>
      <c r="D474" s="851"/>
      <c r="E474" s="894"/>
      <c r="F474" s="900"/>
      <c r="G474" s="831"/>
      <c r="H474" s="1294"/>
      <c r="I474" s="1263"/>
    </row>
    <row r="475" spans="2:11">
      <c r="B475" s="1020" t="s">
        <v>956</v>
      </c>
      <c r="C475" s="894"/>
      <c r="D475" s="894"/>
      <c r="E475" s="894"/>
      <c r="F475" s="900"/>
      <c r="G475" s="831"/>
      <c r="H475" s="1294"/>
      <c r="I475" s="1263"/>
    </row>
    <row r="476" spans="2:11">
      <c r="B476" s="852" t="s">
        <v>957</v>
      </c>
      <c r="C476" s="894"/>
      <c r="D476" s="894"/>
      <c r="E476" s="894"/>
      <c r="F476" s="831">
        <f>+GETPIVOTDATA("Sum of DR-March 20",Pivot!$A$3,"PARTICULARS","Statutory Audit Fees (Darak &amp; Asso)","Note",26,"BS Main Head","Other Expenses","BS Sub Head","Establishment Expenses-Auditors Remuneration")</f>
        <v>275000</v>
      </c>
      <c r="G476" s="831">
        <f>+GETPIVOTDATA("Sum of DR-DEC 19",Pivot!$A$3,"PARTICULARS","Statutory Audit Fees (Darak &amp; Asso)","Note",26,"BS Main Head","Other Expenses","BS Sub Head","Establishment Expenses-Auditors Remuneration")</f>
        <v>250000</v>
      </c>
      <c r="H476" s="1294"/>
      <c r="I476" s="1263"/>
    </row>
    <row r="477" spans="2:11">
      <c r="B477" s="852" t="s">
        <v>958</v>
      </c>
      <c r="C477" s="894"/>
      <c r="D477" s="894"/>
      <c r="E477" s="894"/>
      <c r="F477" s="831">
        <f>+GETPIVOTDATA("Sum of DR-March 20",Pivot!$A$3,"PARTICULARS","Internal Audit Fees (Khandelwal)","Note",26,"BS Main Head","Other Expenses","BS Sub Head","Establishment Expenses-Auditors Remuneration")</f>
        <v>196000</v>
      </c>
      <c r="G477" s="831">
        <f>+GETPIVOTDATA("Sum of DR-DEC 19",Pivot!$A$3,"PARTICULARS","Internal Audit Fees (Khandelwal)","Note",26,"BS Main Head","Other Expenses","BS Sub Head","Establishment Expenses-Auditors Remuneration")</f>
        <v>360000</v>
      </c>
      <c r="H477" s="1294"/>
      <c r="I477" s="1263"/>
    </row>
    <row r="478" spans="2:11">
      <c r="B478" s="852" t="s">
        <v>959</v>
      </c>
      <c r="C478" s="894"/>
      <c r="D478" s="894"/>
      <c r="E478" s="894"/>
      <c r="F478" s="831">
        <f>+GETPIVOTDATA("Sum of DR-March 20",Pivot!$A$3,"PARTICULARS","Audit Expenses (Darak)","Note",26,"BS Main Head","Other Expenses","BS Sub Head","Establishment Expenses-Auditors Remuneration")+GETPIVOTDATA("Sum of DR-March 20",Pivot!$A$3,"PARTICULARS","Audit Expenses (Walter)","Note",26,"BS Main Head","Other Expenses","BS Sub Head","Establishment Expenses-Auditors Remuneration")</f>
        <v>11546</v>
      </c>
      <c r="G478" s="831">
        <f>+GETPIVOTDATA("Sum of DR-DEC 19",Pivot!$A$3,"PARTICULARS","Audit Expenses (Darak)","Note",26,"BS Main Head","Other Expenses","BS Sub Head","Establishment Expenses-Auditors Remuneration")+GETPIVOTDATA("Sum of DR-DEC 19",Pivot!$A$3,"PARTICULARS","Audit Expenses : (Excise)","Note",26,"BS Main Head","Other Expenses","BS Sub Head","Establishment Expenses-Auditors Remuneration")</f>
        <v>15815</v>
      </c>
      <c r="H478" s="1294"/>
      <c r="I478" s="1263"/>
    </row>
    <row r="479" spans="2:11">
      <c r="B479" s="1023" t="s">
        <v>45</v>
      </c>
      <c r="C479" s="1024"/>
      <c r="D479" s="1024"/>
      <c r="E479" s="894"/>
      <c r="F479" s="831">
        <f>+GETPIVOTDATA("Sum of DR-March 20",Pivot!$A$3,"Note",26,"BS Main Head","Other Expenses","BS Sub Head","Establishment Expenses-Bank Charges")</f>
        <v>608223.63</v>
      </c>
      <c r="G479" s="945">
        <f>+GETPIVOTDATA("Sum of DR-DEC 19",Pivot!$A$3,"Note",26,"BS Main Head","Other Expenses","BS Sub Head","Establishment Expenses-Bank Charges")</f>
        <v>545794.40999999992</v>
      </c>
      <c r="H479" s="1294"/>
      <c r="I479" s="1263"/>
    </row>
    <row r="480" spans="2:11">
      <c r="B480" s="852" t="s">
        <v>967</v>
      </c>
      <c r="C480" s="819"/>
      <c r="D480" s="819"/>
      <c r="E480" s="819"/>
      <c r="F480" s="831">
        <f>+GETPIVOTDATA("Sum of DR-March 20",Pivot!$A$3,"Note",26,"BS Main Head","Other Expenses","BS Sub Head","Bad Debts")</f>
        <v>2927</v>
      </c>
      <c r="G480" s="869">
        <f>+GETPIVOTDATA("Sum of DR-DEC 19",Pivot!$A$3,"Note",26,"BS Main Head","Other Expenses","BS Sub Head","Bad Debts")</f>
        <v>3011374.94</v>
      </c>
      <c r="H480" s="1294"/>
      <c r="I480" s="1263"/>
    </row>
    <row r="481" spans="2:9">
      <c r="B481" s="852" t="s">
        <v>85</v>
      </c>
      <c r="C481" s="819"/>
      <c r="D481" s="819"/>
      <c r="E481" s="819"/>
      <c r="F481" s="831">
        <f>+GETPIVOTDATA("Sum of DR-March 20",Pivot!$A$3,"PARTICULARS","CSR Expenses","Note",26,"BS Main Head","Other Expenses","BS Sub Head","Establishment Expenses-Rates &amp; Taxes")</f>
        <v>380250</v>
      </c>
      <c r="G481" s="869">
        <v>0</v>
      </c>
      <c r="H481" s="1294"/>
      <c r="I481" s="1263"/>
    </row>
    <row r="482" spans="2:9">
      <c r="B482" s="852" t="s">
        <v>635</v>
      </c>
      <c r="C482" s="819"/>
      <c r="D482" s="819"/>
      <c r="E482" s="894"/>
      <c r="F482" s="831">
        <f>+GETPIVOTDATA("Sum of DR-March 20",Pivot!$A$3,"Note",26,"BS Main Head","Other Expenses","BS Sub Head","Donation")</f>
        <v>13002</v>
      </c>
      <c r="G482" s="831">
        <v>34600</v>
      </c>
      <c r="H482" s="1294"/>
      <c r="I482" s="1263"/>
    </row>
    <row r="483" spans="2:9">
      <c r="B483" s="852" t="s">
        <v>961</v>
      </c>
      <c r="C483" s="819"/>
      <c r="D483" s="819"/>
      <c r="E483" s="894"/>
      <c r="F483" s="831">
        <f>+GETPIVOTDATA("Sum of DR-March 20",Pivot!$A$3,"Note",26,"BS Main Head","Other Expenses","BS Sub Head","Establishment Expenses-Insurance Charges")</f>
        <v>944137</v>
      </c>
      <c r="G483" s="831">
        <f>+GETPIVOTDATA("Sum of DR-DEC 19",Pivot!$A$3,"Note",26,"BS Main Head","Other Expenses","BS Sub Head","Establishment Expenses-Insurance Charges")</f>
        <v>1049138</v>
      </c>
      <c r="H483" s="1294"/>
      <c r="I483" s="1263"/>
    </row>
    <row r="484" spans="2:9">
      <c r="B484" s="852" t="s">
        <v>969</v>
      </c>
      <c r="C484" s="819"/>
      <c r="D484" s="819"/>
      <c r="E484" s="894"/>
      <c r="F484" s="831">
        <f>+GETPIVOTDATA("Sum of DR-March 20",Pivot!$A$3,"Note",26,"BS Main Head","Other Expenses","BS Sub Head","Establishment Expenses-General Expenses")-GETPIVOTDATA("Sum of CR-March 20",Pivot!$A$3,"Note",26,"BS Main Head","Other Expenses","BS Sub Head","Establishment Expenses-General Expenses")</f>
        <v>1133601.58</v>
      </c>
      <c r="G484" s="869">
        <f>+GETPIVOTDATA("Sum of DR-DEC 19",Pivot!$A$3,"Note",26,"BS Main Head","Other Expenses","BS Sub Head","Establishment Expenses-General Expenses")-GETPIVOTDATA("Sum of CR-DEC 19",Pivot!$A$3,"Note",26,"BS Main Head","Other Expenses","BS Sub Head","Establishment Expenses-General Expenses")</f>
        <v>522259.75999999995</v>
      </c>
      <c r="H484" s="1294"/>
      <c r="I484" s="1263">
        <f>+GETPIVOTDATA("Sum of DR-March 20",Pivot!$A$3,"Note",26,"BS Main Head","Other Expenses","BS Sub Head","Establishment Expenses-General Expenses")</f>
        <v>1211263.81</v>
      </c>
    </row>
    <row r="485" spans="2:9">
      <c r="B485" s="1021" t="s">
        <v>648</v>
      </c>
      <c r="C485" s="894"/>
      <c r="D485" s="894"/>
      <c r="E485" s="894"/>
      <c r="F485" s="831"/>
      <c r="G485" s="831"/>
      <c r="H485" s="1294"/>
      <c r="I485" s="1263"/>
    </row>
    <row r="486" spans="2:9">
      <c r="B486" s="1009" t="s">
        <v>1809</v>
      </c>
      <c r="C486" s="894"/>
      <c r="D486" s="894"/>
      <c r="E486" s="894"/>
      <c r="F486" s="831">
        <f>+GETPIVOTDATA("Sum of DR-March 20",Pivot!$A$3,"PARTICULARS","GST Audit Fees F.Y.2018-19","Note",26,"BS Main Head","Other Expenses","BS Sub Head","Establishment Expenses-Legal &amp; Professional Charges")</f>
        <v>40000</v>
      </c>
      <c r="G486" s="831">
        <f>+GETPIVOTDATA("Sum of DR-DEC 19",Pivot!$A$3,"PARTICULARS","GST Audit Fees","Note",26,"BS Main Head","Other Expenses","BS Sub Head","Establishment Expenses-Legal &amp; Professional Charges")</f>
        <v>30000</v>
      </c>
      <c r="H486" s="1294"/>
      <c r="I486" s="1263"/>
    </row>
    <row r="487" spans="2:9">
      <c r="B487" s="1009" t="s">
        <v>1808</v>
      </c>
      <c r="C487" s="894"/>
      <c r="D487" s="894"/>
      <c r="E487" s="894"/>
      <c r="F487" s="831">
        <f>+GETPIVOTDATA("Sum of DR-March 20",Pivot!$A$3,"PARTICULARS","GST Audit Fees A. Y. 2019-2020","Note",26,"BS Main Head","Other Expenses","BS Sub Head","Establishment Expenses-Legal &amp; Professional Charges")</f>
        <v>45000</v>
      </c>
      <c r="G487" s="831">
        <v>0</v>
      </c>
      <c r="H487" s="1294"/>
      <c r="I487" s="1263"/>
    </row>
    <row r="488" spans="2:9">
      <c r="B488" s="852" t="s">
        <v>963</v>
      </c>
      <c r="C488" s="819"/>
      <c r="D488" s="819"/>
      <c r="E488" s="894"/>
      <c r="F488" s="831">
        <f>+GETPIVOTDATA("Sum of DR-March 20",Pivot!$A$3,"Note",26,"BS Main Head","Other Expenses","BS Sub Head","Establishment Expenses-Legal &amp; Professional Charges")-F486-F487</f>
        <v>869958.98</v>
      </c>
      <c r="G488" s="831">
        <f>+GETPIVOTDATA("Sum of DR-DEC 19",Pivot!$A$3,"Note",26,"BS Main Head","Other Expenses","BS Sub Head","Establishment Expenses-Legal &amp; Professional Charges")-G486</f>
        <v>2302392</v>
      </c>
      <c r="H488" s="1294"/>
      <c r="I488" s="1263"/>
    </row>
    <row r="489" spans="2:9">
      <c r="B489" s="852" t="s">
        <v>968</v>
      </c>
      <c r="C489" s="819"/>
      <c r="D489" s="819"/>
      <c r="E489" s="819"/>
      <c r="F489" s="831">
        <f>+GETPIVOTDATA("Sum of DR-March 20",Pivot!$A$3,"Note",26,"BS Main Head","Other Expenses","BS Sub Head","Establishment Expenses-Listing Expense")</f>
        <v>64000</v>
      </c>
      <c r="G489" s="869">
        <f>+GETPIVOTDATA("Sum of DR-DEC 19",Pivot!$A$3,"Note",26,"BS Main Head","Other Expenses","BS Sub Head","Establishment Expenses-Listing Expense")</f>
        <v>64000</v>
      </c>
      <c r="H489" s="1294"/>
      <c r="I489" s="1263"/>
    </row>
    <row r="490" spans="2:9">
      <c r="B490" s="852" t="s">
        <v>966</v>
      </c>
      <c r="C490" s="819"/>
      <c r="D490" s="819"/>
      <c r="E490" s="894"/>
      <c r="F490" s="831">
        <f>+GETPIVOTDATA("Sum of DR-March 20",Pivot!$A$3,"Note",26,"BS Main Head","Other Expenses","BS Sub Head","Establishment Expenses-Office Expenses")</f>
        <v>482428</v>
      </c>
      <c r="G490" s="869">
        <f>+GETPIVOTDATA("Sum of DR-DEC 19",Pivot!$A$3,"Note",26,"BS Main Head","Other Expenses","BS Sub Head","Establishment Expenses-Office Expenses")</f>
        <v>439293</v>
      </c>
      <c r="H490" s="1294"/>
      <c r="I490" s="1263"/>
    </row>
    <row r="491" spans="2:9">
      <c r="B491" s="852" t="s">
        <v>965</v>
      </c>
      <c r="C491" s="819"/>
      <c r="D491" s="819"/>
      <c r="E491" s="894"/>
      <c r="F491" s="831">
        <f>+GETPIVOTDATA("Sum of DR-March 20",Pivot!$A$3,"Note",26,"BS Main Head","Other Expenses","BS Sub Head","Establishment Expenses-Printing &amp; Stationery")</f>
        <v>237277.27</v>
      </c>
      <c r="G491" s="831">
        <f>+GETPIVOTDATA("Sum of DR-DEC 19",Pivot!$A$3,"Note",26,"BS Main Head","Other Expenses","BS Sub Head","Establishment Expenses-Printing &amp; Stationery")</f>
        <v>202817.87</v>
      </c>
      <c r="H491" s="1294"/>
      <c r="I491" s="1263"/>
    </row>
    <row r="492" spans="2:9">
      <c r="B492" s="852" t="s">
        <v>299</v>
      </c>
      <c r="C492" s="819"/>
      <c r="D492" s="819"/>
      <c r="E492" s="894"/>
      <c r="F492" s="831">
        <f>+GETPIVOTDATA("Sum of DR-March 20",Pivot!$A$3,"Note",26,"BS Main Head","Other Expenses","BS Sub Head","Establishment Expenses-Rates &amp; Taxes")-F481</f>
        <v>1214761.3600000001</v>
      </c>
      <c r="G492" s="831">
        <f>+GETPIVOTDATA("Sum of DR-DEC 19",Pivot!$A$3,"Note",26,"BS Main Head","Other Expenses","BS Sub Head","Establishment Expenses-Rates &amp; Taxes")</f>
        <v>2611861.87</v>
      </c>
      <c r="H492" s="1294"/>
      <c r="I492" s="1263"/>
    </row>
    <row r="493" spans="2:9">
      <c r="B493" s="1020" t="s">
        <v>960</v>
      </c>
      <c r="C493" s="894"/>
      <c r="D493" s="894"/>
      <c r="E493" s="894"/>
      <c r="F493" s="831"/>
      <c r="G493" s="831"/>
      <c r="H493" s="1294"/>
      <c r="I493" s="1263"/>
    </row>
    <row r="494" spans="2:9">
      <c r="B494" s="852" t="s">
        <v>1792</v>
      </c>
      <c r="C494" s="819"/>
      <c r="D494" s="819"/>
      <c r="E494" s="1022"/>
      <c r="F494" s="831">
        <f>+GETPIVOTDATA("Sum of DR-March 20",Pivot!$A$3,"Note",26,"BS Main Head","Other Expenses","BS Sub Head","Establishment Expenses-Rep. &amp; Maint. Vehicle")</f>
        <v>587236</v>
      </c>
      <c r="G494" s="831">
        <f>+GETPIVOTDATA("Sum of DR-DEC 19",Pivot!$A$3,"Note",26,"BS Main Head","Other Expenses","BS Sub Head","Establishment Expenses-Rep. &amp; Maint. Vehicle")</f>
        <v>596007.5</v>
      </c>
      <c r="H494" s="1294"/>
      <c r="I494" s="1263"/>
    </row>
    <row r="495" spans="2:9">
      <c r="B495" s="852" t="s">
        <v>1793</v>
      </c>
      <c r="C495" s="819"/>
      <c r="D495" s="819"/>
      <c r="E495" s="894"/>
      <c r="F495" s="831">
        <f>+GETPIVOTDATA("Sum of DR-March 20",Pivot!$A$3,"Note",26,"BS Main Head","Other Expenses","BS Sub Head","Establishment Expenses-Rep. &amp; Maint. Others")</f>
        <v>409071.26</v>
      </c>
      <c r="G495" s="831">
        <f>+GETPIVOTDATA("Sum of DR-DEC 19",Pivot!$A$3,"Note",26,"BS Main Head","Other Expenses","BS Sub Head","Establishment Expenses-Rep. &amp; Maint. Others")</f>
        <v>592469.98</v>
      </c>
      <c r="H495" s="1294"/>
      <c r="I495" s="1263"/>
    </row>
    <row r="496" spans="2:9">
      <c r="B496" s="852" t="s">
        <v>962</v>
      </c>
      <c r="C496" s="819"/>
      <c r="D496" s="819"/>
      <c r="E496" s="948"/>
      <c r="F496" s="831">
        <f>+GETPIVOTDATA("Sum of DR-March 20",Pivot!$A$3,"Note",26,"BS Main Head","Other Expenses","BS Sub Head","Establishment Expenses-Rent")</f>
        <v>312000</v>
      </c>
      <c r="G496" s="831">
        <f>+GETPIVOTDATA("Sum of DR-DEC 19",Pivot!$A$3,"Note",26,"BS Main Head","Other Expenses","BS Sub Head","Establishment Expenses-Rent")</f>
        <v>337400</v>
      </c>
      <c r="H496" s="1294"/>
      <c r="I496" s="1263"/>
    </row>
    <row r="497" spans="2:9">
      <c r="B497" s="852" t="s">
        <v>964</v>
      </c>
      <c r="C497" s="819"/>
      <c r="D497" s="819"/>
      <c r="E497" s="1025"/>
      <c r="F497" s="831">
        <f>+GETPIVOTDATA("Sum of DR-March 20",Pivot!$A$3,"Note",26,"BS Main Head","Other Expenses","BS Sub Head","Establishment Expenses-Travelling &amp; Conveyance")</f>
        <v>1355567.44</v>
      </c>
      <c r="G497" s="869">
        <f>+GETPIVOTDATA("Sum of DR-DEC 19",Pivot!$A$3,"Note",26,"BS Main Head","Other Expenses","BS Sub Head","Establishment Expenses-Travelling &amp; Conveyance")</f>
        <v>741773.2</v>
      </c>
      <c r="H497" s="1294"/>
      <c r="I497" s="1263"/>
    </row>
    <row r="498" spans="2:9">
      <c r="B498" s="852" t="s">
        <v>735</v>
      </c>
      <c r="C498" s="819"/>
      <c r="D498" s="819"/>
      <c r="E498" s="894"/>
      <c r="F498" s="831">
        <f>+GETPIVOTDATA("Sum of DR-March 20",Pivot!$A$3,"Note",26,"BS Main Head","Other Expenses","BS Sub Head","Establishment Expenses-Telephone Charges")</f>
        <v>57609.08</v>
      </c>
      <c r="G498" s="831">
        <f>+GETPIVOTDATA("Sum of DR-DEC 19",Pivot!$A$3,"Note",26,"BS Main Head","Other Expenses","BS Sub Head","Establishment Expenses-Telephone Charges")</f>
        <v>107805.92</v>
      </c>
      <c r="H498" s="1294"/>
      <c r="I498" s="1263"/>
    </row>
    <row r="499" spans="2:9">
      <c r="B499" s="852"/>
      <c r="C499" s="819"/>
      <c r="D499" s="819"/>
      <c r="E499" s="907" t="s">
        <v>970</v>
      </c>
      <c r="F499" s="1110">
        <f>+SUM(F476:F498)</f>
        <v>9239596.5999999996</v>
      </c>
      <c r="G499" s="1110">
        <f>+SUM(G476:G498)</f>
        <v>13814803.449999997</v>
      </c>
      <c r="H499" s="1294"/>
      <c r="I499" s="1263">
        <f>-GETPIVOTDATA("Sum of CR-March 20",Pivot!$A$3,"Note",26,"BS Main Head","Other Expenses","BS Sub Head","Establishment Expenses-General Expenses")</f>
        <v>-77662.23</v>
      </c>
    </row>
    <row r="500" spans="2:9">
      <c r="B500" s="939" t="s">
        <v>971</v>
      </c>
      <c r="C500" s="851"/>
      <c r="D500" s="851"/>
      <c r="E500" s="894"/>
      <c r="F500" s="831"/>
      <c r="G500" s="831"/>
      <c r="H500" s="1294"/>
      <c r="I500" s="1263"/>
    </row>
    <row r="501" spans="2:9">
      <c r="B501" s="852" t="s">
        <v>972</v>
      </c>
      <c r="C501" s="819"/>
      <c r="D501" s="819"/>
      <c r="E501" s="894"/>
      <c r="F501" s="831">
        <f>+GETPIVOTDATA("Sum of DR-March 20",Pivot!$A$3,"Note",26,"BS Main Head","Other Expenses","BS Sub Head","Selling &amp; Dist.-Advertisement Expenses")</f>
        <v>138158</v>
      </c>
      <c r="G501" s="831">
        <f>+GETPIVOTDATA("Sum of DR-DEC 19",Pivot!$A$3,"Note",26,"BS Main Head","Other Expenses","BS Sub Head","Selling &amp; Dist.-Advertisement Expenses")</f>
        <v>77814</v>
      </c>
      <c r="H501" s="1294"/>
      <c r="I501" s="1263"/>
    </row>
    <row r="502" spans="2:9">
      <c r="B502" s="852" t="s">
        <v>973</v>
      </c>
      <c r="C502" s="819"/>
      <c r="D502" s="819"/>
      <c r="E502" s="894"/>
      <c r="F502" s="831">
        <f>+GETPIVOTDATA("Sum of DR-March 20",Pivot!$A$3,"Note",26,"BS Main Head","Other Expenses","BS Sub Head","Selling &amp; Dist.-Discount &amp; Commission")</f>
        <v>2253035</v>
      </c>
      <c r="G502" s="831">
        <f>+GETPIVOTDATA("Sum of DR-DEC 19",Pivot!$A$3,"Note",26,"BS Main Head","Other Expenses","BS Sub Head","Selling &amp; Dist.-Discount &amp; Commission")</f>
        <v>3396669</v>
      </c>
      <c r="H502" s="1294"/>
      <c r="I502" s="1263"/>
    </row>
    <row r="503" spans="2:9">
      <c r="B503" s="852" t="s">
        <v>974</v>
      </c>
      <c r="C503" s="819"/>
      <c r="D503" s="819"/>
      <c r="E503" s="894"/>
      <c r="F503" s="831">
        <f>+GETPIVOTDATA("Sum of DR-March 20",Pivot!$A$3,"Note",26,"BS Main Head","Other Expenses","BS Sub Head","Selling &amp; Dist.-Insurance on Sales")</f>
        <v>86275</v>
      </c>
      <c r="G503" s="831">
        <f>+GETPIVOTDATA("Sum of DR-DEC 19",Pivot!$A$3,"Note",26,"BS Main Head","Other Expenses","BS Sub Head","Selling &amp; Dist.-Insurance on Sales")</f>
        <v>327417</v>
      </c>
      <c r="H503" s="1294"/>
      <c r="I503" s="1263"/>
    </row>
    <row r="504" spans="2:9">
      <c r="B504" s="852"/>
      <c r="C504" s="819"/>
      <c r="D504" s="819"/>
      <c r="E504" s="907" t="s">
        <v>975</v>
      </c>
      <c r="F504" s="1110">
        <f>+SUM(F501:F503)</f>
        <v>2477468</v>
      </c>
      <c r="G504" s="1110">
        <f>+SUM(G501:G503)</f>
        <v>3801900</v>
      </c>
      <c r="H504" s="1294"/>
      <c r="I504" s="1263"/>
    </row>
    <row r="505" spans="2:9">
      <c r="B505" s="888"/>
      <c r="C505" s="889"/>
      <c r="D505" s="889"/>
      <c r="E505" s="1187" t="s">
        <v>976</v>
      </c>
      <c r="F505" s="1110">
        <f>+F504+F499+F473</f>
        <v>190581608.54999998</v>
      </c>
      <c r="G505" s="1110">
        <f>+G504+G499+G473</f>
        <v>199610852.02000001</v>
      </c>
      <c r="H505" s="1295"/>
      <c r="I505" s="1263"/>
    </row>
    <row r="506" spans="2:9">
      <c r="B506" s="1439" t="s">
        <v>750</v>
      </c>
      <c r="C506" s="1440"/>
      <c r="D506" s="1440"/>
      <c r="E506" s="1440"/>
      <c r="F506" s="1440"/>
      <c r="G506" s="1441"/>
      <c r="H506" s="1264"/>
      <c r="I506" s="1263"/>
    </row>
    <row r="507" spans="2:9">
      <c r="B507" s="1439" t="s">
        <v>1299</v>
      </c>
      <c r="C507" s="1440"/>
      <c r="D507" s="1440"/>
      <c r="E507" s="1440"/>
      <c r="F507" s="1440"/>
      <c r="G507" s="1441"/>
      <c r="H507" s="1264"/>
      <c r="I507" s="1263"/>
    </row>
    <row r="508" spans="2:9">
      <c r="B508" s="1126" t="s">
        <v>546</v>
      </c>
      <c r="C508" s="886"/>
      <c r="D508" s="886"/>
      <c r="E508" s="1118"/>
      <c r="F508" s="1115" t="s">
        <v>2008</v>
      </c>
      <c r="G508" s="1115" t="s">
        <v>2008</v>
      </c>
      <c r="I508" s="1263"/>
    </row>
    <row r="509" spans="2:9">
      <c r="B509" s="888"/>
      <c r="C509" s="889"/>
      <c r="D509" s="889"/>
      <c r="E509" s="859"/>
      <c r="F509" s="825" t="s">
        <v>2004</v>
      </c>
      <c r="G509" s="825" t="s">
        <v>2005</v>
      </c>
      <c r="I509" s="1263"/>
    </row>
    <row r="510" spans="2:9">
      <c r="B510" s="1021" t="s">
        <v>1955</v>
      </c>
      <c r="C510" s="819"/>
      <c r="D510" s="819"/>
      <c r="E510" s="836"/>
      <c r="F510" s="1146"/>
      <c r="G510" s="1146"/>
      <c r="I510" s="1263"/>
    </row>
    <row r="511" spans="2:9">
      <c r="B511" s="939" t="s">
        <v>9</v>
      </c>
      <c r="C511" s="819"/>
      <c r="D511" s="819"/>
      <c r="E511" s="836"/>
      <c r="F511" s="860"/>
      <c r="G511" s="860"/>
      <c r="I511" s="1263"/>
    </row>
    <row r="512" spans="2:9">
      <c r="B512" s="939" t="s">
        <v>977</v>
      </c>
      <c r="C512" s="819"/>
      <c r="D512" s="819"/>
      <c r="E512" s="836"/>
      <c r="F512" s="860"/>
      <c r="G512" s="860"/>
      <c r="I512" s="1263"/>
    </row>
    <row r="513" spans="2:9">
      <c r="B513" s="852" t="s">
        <v>978</v>
      </c>
      <c r="C513" s="819"/>
      <c r="D513" s="819"/>
      <c r="E513" s="836"/>
      <c r="F513" s="1028">
        <f>+F106</f>
        <v>-186251</v>
      </c>
      <c r="G513" s="1027">
        <v>-535558</v>
      </c>
      <c r="I513" s="1263"/>
    </row>
    <row r="514" spans="2:9">
      <c r="B514" s="852" t="s">
        <v>979</v>
      </c>
      <c r="C514" s="819"/>
      <c r="D514" s="819"/>
      <c r="E514" s="836"/>
      <c r="F514" s="1028">
        <v>0</v>
      </c>
      <c r="G514" s="1027">
        <v>0</v>
      </c>
      <c r="I514" s="1263"/>
    </row>
    <row r="515" spans="2:9">
      <c r="B515" s="863" t="s">
        <v>829</v>
      </c>
      <c r="C515" s="819"/>
      <c r="D515" s="819"/>
      <c r="E515" s="836"/>
      <c r="F515" s="1028"/>
      <c r="G515" s="1027"/>
      <c r="I515" s="1263"/>
    </row>
    <row r="516" spans="2:9">
      <c r="B516" s="863" t="s">
        <v>749</v>
      </c>
      <c r="C516" s="819"/>
      <c r="D516" s="819"/>
      <c r="E516" s="836"/>
      <c r="F516" s="860"/>
      <c r="G516" s="860"/>
      <c r="I516" s="1263"/>
    </row>
    <row r="517" spans="2:9">
      <c r="B517" s="852" t="s">
        <v>980</v>
      </c>
      <c r="C517" s="819"/>
      <c r="D517" s="819"/>
      <c r="E517" s="836"/>
      <c r="F517" s="989">
        <f>+SUM(F513:F515)</f>
        <v>-186251</v>
      </c>
      <c r="G517" s="1147">
        <f>+SUM(G513:G515)</f>
        <v>-535558</v>
      </c>
      <c r="I517" s="1263"/>
    </row>
    <row r="518" spans="2:9">
      <c r="B518" s="939" t="s">
        <v>981</v>
      </c>
      <c r="C518" s="819"/>
      <c r="D518" s="819"/>
      <c r="E518" s="836"/>
      <c r="F518" s="860"/>
      <c r="G518" s="860"/>
      <c r="I518" s="1263"/>
    </row>
    <row r="519" spans="2:9">
      <c r="B519" s="829" t="s">
        <v>982</v>
      </c>
      <c r="C519" s="819"/>
      <c r="D519" s="819"/>
      <c r="E519" s="836"/>
      <c r="F519" s="1028">
        <v>0</v>
      </c>
      <c r="G519" s="1028">
        <v>0</v>
      </c>
      <c r="I519" s="1263"/>
    </row>
    <row r="520" spans="2:9">
      <c r="B520" s="939"/>
      <c r="C520" s="819"/>
      <c r="D520" s="819"/>
      <c r="E520" s="836"/>
      <c r="F520" s="860"/>
      <c r="G520" s="860"/>
      <c r="I520" s="1263"/>
    </row>
    <row r="521" spans="2:9">
      <c r="B521" s="852" t="s">
        <v>980</v>
      </c>
      <c r="C521" s="819"/>
      <c r="D521" s="819"/>
      <c r="E521" s="836"/>
      <c r="F521" s="989">
        <v>0</v>
      </c>
      <c r="G521" s="989">
        <v>0</v>
      </c>
      <c r="I521" s="1263"/>
    </row>
    <row r="522" spans="2:9" ht="19.5" thickBot="1">
      <c r="B522" s="939" t="s">
        <v>983</v>
      </c>
      <c r="C522" s="819"/>
      <c r="D522" s="819"/>
      <c r="E522" s="836"/>
      <c r="F522" s="1338">
        <f>F521+F517</f>
        <v>-186251</v>
      </c>
      <c r="G522" s="1029">
        <f>G521+G517</f>
        <v>-535558</v>
      </c>
      <c r="I522" s="1263"/>
    </row>
    <row r="523" spans="2:9" ht="19.5" thickTop="1">
      <c r="B523" s="939"/>
      <c r="C523" s="819"/>
      <c r="D523" s="819"/>
      <c r="E523" s="836"/>
      <c r="F523" s="860"/>
      <c r="G523" s="860"/>
      <c r="I523" s="1263"/>
    </row>
    <row r="524" spans="2:9">
      <c r="B524" s="1021" t="s">
        <v>1956</v>
      </c>
      <c r="C524" s="819"/>
      <c r="D524" s="819"/>
      <c r="E524" s="836"/>
      <c r="F524" s="860"/>
      <c r="G524" s="860"/>
      <c r="I524" s="1263"/>
    </row>
    <row r="525" spans="2:9">
      <c r="B525" s="852" t="s">
        <v>984</v>
      </c>
      <c r="C525" s="819"/>
      <c r="D525" s="819"/>
      <c r="E525" s="836"/>
      <c r="F525" s="860">
        <f>+F103</f>
        <v>11392078.888766242</v>
      </c>
      <c r="G525" s="1026">
        <f>+G103</f>
        <v>58993360.269131973</v>
      </c>
      <c r="I525" s="1263"/>
    </row>
    <row r="526" spans="2:9" ht="39.75" customHeight="1">
      <c r="B526" s="1443" t="s">
        <v>2046</v>
      </c>
      <c r="C526" s="1444"/>
      <c r="D526" s="1444"/>
      <c r="E526" s="1445"/>
      <c r="F526" s="860">
        <f>+F322</f>
        <v>2692265</v>
      </c>
      <c r="G526" s="1026">
        <f>+G322</f>
        <v>2692265</v>
      </c>
      <c r="I526" s="1263"/>
    </row>
    <row r="527" spans="2:9">
      <c r="B527" s="852" t="s">
        <v>985</v>
      </c>
      <c r="C527" s="819"/>
      <c r="D527" s="819"/>
      <c r="E527" s="1030"/>
      <c r="F527" s="1339">
        <f>+F525/F526</f>
        <v>4.2314106853397577</v>
      </c>
      <c r="G527" s="1030">
        <f>+G525/G526</f>
        <v>21.912166992897049</v>
      </c>
      <c r="I527" s="1263"/>
    </row>
    <row r="528" spans="2:9">
      <c r="B528" s="852" t="s">
        <v>986</v>
      </c>
      <c r="C528" s="819"/>
      <c r="D528" s="819"/>
      <c r="E528" s="1031"/>
      <c r="F528" s="1340">
        <f>+F525/F526</f>
        <v>4.2314106853397577</v>
      </c>
      <c r="G528" s="1031">
        <f>+G525/G526</f>
        <v>21.912166992897049</v>
      </c>
      <c r="I528" s="1263"/>
    </row>
    <row r="529" spans="2:9">
      <c r="B529" s="939"/>
      <c r="C529" s="819"/>
      <c r="D529" s="819"/>
      <c r="E529" s="836"/>
      <c r="F529" s="860"/>
      <c r="G529" s="860"/>
      <c r="I529" s="1263"/>
    </row>
    <row r="530" spans="2:9">
      <c r="B530" s="1021" t="s">
        <v>2035</v>
      </c>
      <c r="C530" s="819"/>
      <c r="D530" s="819"/>
      <c r="E530" s="836"/>
      <c r="F530" s="860"/>
      <c r="G530" s="860"/>
      <c r="I530" s="1263"/>
    </row>
    <row r="531" spans="2:9">
      <c r="B531" s="939"/>
      <c r="C531" s="819"/>
      <c r="D531" s="819"/>
      <c r="E531" s="836"/>
      <c r="F531" s="860"/>
      <c r="G531" s="860"/>
      <c r="I531" s="1263"/>
    </row>
    <row r="532" spans="2:9">
      <c r="B532" s="939" t="s">
        <v>2020</v>
      </c>
      <c r="C532" s="819"/>
      <c r="D532" s="819"/>
      <c r="E532" s="836"/>
      <c r="F532" s="860"/>
      <c r="G532" s="860"/>
      <c r="I532" s="1263"/>
    </row>
    <row r="533" spans="2:9">
      <c r="B533" s="852" t="s">
        <v>1974</v>
      </c>
      <c r="C533" s="819"/>
      <c r="D533" s="819"/>
      <c r="E533" s="836"/>
      <c r="F533" s="1028">
        <v>120643906.14</v>
      </c>
      <c r="G533" s="1028">
        <v>131200775.05</v>
      </c>
      <c r="I533" s="1263"/>
    </row>
    <row r="534" spans="2:9">
      <c r="B534" s="852" t="s">
        <v>1975</v>
      </c>
      <c r="C534" s="819"/>
      <c r="D534" s="819"/>
      <c r="E534" s="836"/>
      <c r="F534" s="1028">
        <v>1527900</v>
      </c>
      <c r="G534" s="1028">
        <v>306629</v>
      </c>
      <c r="I534" s="1263"/>
    </row>
    <row r="535" spans="2:9">
      <c r="B535" s="852" t="s">
        <v>1976</v>
      </c>
      <c r="C535" s="819"/>
      <c r="D535" s="819"/>
      <c r="E535" s="836"/>
      <c r="F535" s="1028">
        <f>1159882</f>
        <v>1159882</v>
      </c>
      <c r="G535" s="1028">
        <v>0</v>
      </c>
      <c r="I535" s="1263"/>
    </row>
    <row r="536" spans="2:9">
      <c r="B536" s="939"/>
      <c r="C536" s="819"/>
      <c r="D536" s="819"/>
      <c r="E536" s="836"/>
      <c r="F536" s="860"/>
      <c r="G536" s="860"/>
      <c r="I536" s="1263"/>
    </row>
    <row r="537" spans="2:9">
      <c r="B537" s="939" t="s">
        <v>2021</v>
      </c>
      <c r="C537" s="819"/>
      <c r="D537" s="819"/>
      <c r="E537" s="836"/>
      <c r="F537" s="860"/>
      <c r="G537" s="860"/>
      <c r="I537" s="1263"/>
    </row>
    <row r="538" spans="2:9">
      <c r="B538" s="939" t="s">
        <v>2024</v>
      </c>
      <c r="C538" s="819"/>
      <c r="D538" s="819"/>
      <c r="E538" s="836"/>
      <c r="F538" s="860"/>
      <c r="G538" s="860"/>
      <c r="I538" s="1263"/>
    </row>
    <row r="539" spans="2:9">
      <c r="B539" s="852" t="s">
        <v>2022</v>
      </c>
      <c r="C539" s="819"/>
      <c r="D539" s="819"/>
      <c r="E539" s="836"/>
      <c r="F539" s="1028">
        <f>+'CLOSING STOCK 31-03-20'!Q38</f>
        <v>43890778.421285272</v>
      </c>
      <c r="G539" s="1028">
        <f>+'CLOSING STOCK 31-03-20'!F38</f>
        <v>25958249.815479998</v>
      </c>
      <c r="I539" s="1263"/>
    </row>
    <row r="540" spans="2:9">
      <c r="B540" s="852" t="s">
        <v>2023</v>
      </c>
      <c r="C540" s="819"/>
      <c r="D540" s="819"/>
      <c r="E540" s="836"/>
      <c r="F540" s="1028">
        <f>+'CLOSING STOCK 31-03-20'!Q42</f>
        <v>2919004</v>
      </c>
      <c r="G540" s="1028">
        <f>+'CLOSING STOCK 31-03-20'!F42</f>
        <v>2569296</v>
      </c>
      <c r="I540" s="1263"/>
    </row>
    <row r="541" spans="2:9">
      <c r="B541" s="939"/>
      <c r="C541" s="819"/>
      <c r="D541" s="819"/>
      <c r="E541" s="836"/>
      <c r="F541" s="860"/>
      <c r="G541" s="860"/>
      <c r="I541" s="1263"/>
    </row>
    <row r="542" spans="2:9">
      <c r="B542" s="939" t="s">
        <v>2026</v>
      </c>
      <c r="C542" s="819"/>
      <c r="D542" s="819"/>
      <c r="E542" s="836"/>
      <c r="F542" s="860"/>
      <c r="G542" s="860"/>
      <c r="I542" s="1263"/>
    </row>
    <row r="543" spans="2:9">
      <c r="B543" s="852" t="s">
        <v>2025</v>
      </c>
      <c r="C543" s="819"/>
      <c r="D543" s="819"/>
      <c r="E543" s="836"/>
      <c r="F543" s="1028">
        <f>+F249</f>
        <v>7851552.4746909877</v>
      </c>
      <c r="G543" s="1027">
        <f>+G249</f>
        <v>13538251.855289809</v>
      </c>
      <c r="I543" s="1263"/>
    </row>
    <row r="544" spans="2:9">
      <c r="B544" s="939"/>
      <c r="C544" s="819"/>
      <c r="D544" s="819"/>
      <c r="E544" s="836"/>
      <c r="F544" s="860"/>
      <c r="G544" s="860"/>
      <c r="I544" s="1263"/>
    </row>
    <row r="545" spans="2:9">
      <c r="B545" s="1495" t="s">
        <v>2027</v>
      </c>
      <c r="C545" s="1496"/>
      <c r="D545" s="1496"/>
      <c r="E545" s="1497"/>
      <c r="F545" s="860"/>
      <c r="G545" s="860"/>
      <c r="I545" s="1263"/>
    </row>
    <row r="546" spans="2:9">
      <c r="B546" s="1188" t="s">
        <v>2031</v>
      </c>
      <c r="C546" s="1189"/>
      <c r="D546" s="1189"/>
      <c r="E546" s="1190"/>
      <c r="F546" s="860"/>
      <c r="G546" s="860"/>
      <c r="I546" s="1263"/>
    </row>
    <row r="547" spans="2:9">
      <c r="B547" s="1348" t="s">
        <v>2028</v>
      </c>
      <c r="C547" s="1349"/>
      <c r="D547" s="1349"/>
      <c r="E547" s="1350"/>
      <c r="F547" s="860"/>
      <c r="G547" s="860"/>
      <c r="I547" s="1263"/>
    </row>
    <row r="548" spans="2:9">
      <c r="B548" s="1020" t="s">
        <v>2022</v>
      </c>
      <c r="C548" s="819"/>
      <c r="D548" s="819"/>
      <c r="E548" s="836"/>
      <c r="F548" s="860"/>
      <c r="G548" s="860"/>
      <c r="I548" s="1263"/>
    </row>
    <row r="549" spans="2:9">
      <c r="B549" s="852" t="s">
        <v>2029</v>
      </c>
      <c r="C549" s="819"/>
      <c r="D549" s="819"/>
      <c r="E549" s="836"/>
      <c r="F549" s="1028">
        <f>+'CLOSING STOCK 31-03-20'!N34</f>
        <v>152872055.94415474</v>
      </c>
      <c r="G549" s="1028">
        <v>164088298.19999999</v>
      </c>
      <c r="I549" s="1263"/>
    </row>
    <row r="550" spans="2:9">
      <c r="B550" s="852" t="s">
        <v>2030</v>
      </c>
      <c r="C550" s="819"/>
      <c r="D550" s="819"/>
      <c r="E550" s="836"/>
      <c r="F550" s="1341">
        <f>+F549/(F549+F559)</f>
        <v>0.35315432930051155</v>
      </c>
      <c r="G550" s="1192">
        <f>+G549/(G549+G559)</f>
        <v>0.37369536982218926</v>
      </c>
      <c r="I550" s="1263"/>
    </row>
    <row r="551" spans="2:9">
      <c r="B551" s="939"/>
      <c r="C551" s="819"/>
      <c r="D551" s="819"/>
      <c r="E551" s="836"/>
      <c r="F551" s="860"/>
      <c r="G551" s="860"/>
      <c r="I551" s="1263"/>
    </row>
    <row r="552" spans="2:9">
      <c r="B552" s="1020" t="s">
        <v>1976</v>
      </c>
      <c r="C552" s="819"/>
      <c r="D552" s="819"/>
      <c r="E552" s="836"/>
      <c r="F552" s="860"/>
      <c r="G552" s="860"/>
      <c r="I552" s="1263"/>
    </row>
    <row r="553" spans="2:9">
      <c r="B553" s="852" t="s">
        <v>2029</v>
      </c>
      <c r="C553" s="819"/>
      <c r="D553" s="819"/>
      <c r="E553" s="836"/>
      <c r="F553" s="1028">
        <f>+F535</f>
        <v>1159882</v>
      </c>
      <c r="G553" s="1027">
        <f>+G535</f>
        <v>0</v>
      </c>
      <c r="I553" s="1263"/>
    </row>
    <row r="554" spans="2:9">
      <c r="B554" s="852" t="s">
        <v>2030</v>
      </c>
      <c r="C554" s="819"/>
      <c r="D554" s="819"/>
      <c r="E554" s="836"/>
      <c r="F554" s="1342">
        <f>+F553/(F553+F567)</f>
        <v>0.19114396413249718</v>
      </c>
      <c r="G554" s="1193">
        <f>+G553/(G553+G567)</f>
        <v>0</v>
      </c>
      <c r="I554" s="1263"/>
    </row>
    <row r="555" spans="2:9">
      <c r="B555" s="939"/>
      <c r="C555" s="819"/>
      <c r="D555" s="819"/>
      <c r="E555" s="836"/>
      <c r="F555" s="860"/>
      <c r="G555" s="860"/>
      <c r="I555" s="1263"/>
    </row>
    <row r="556" spans="2:9">
      <c r="B556" s="1188" t="s">
        <v>2032</v>
      </c>
      <c r="C556" s="1189"/>
      <c r="D556" s="1189"/>
      <c r="E556" s="1190"/>
      <c r="F556" s="860"/>
      <c r="G556" s="860"/>
      <c r="I556" s="1263"/>
    </row>
    <row r="557" spans="2:9">
      <c r="B557" s="1348" t="s">
        <v>2028</v>
      </c>
      <c r="C557" s="1349"/>
      <c r="D557" s="1349"/>
      <c r="E557" s="1350"/>
      <c r="F557" s="860"/>
      <c r="G557" s="860"/>
      <c r="I557" s="1263"/>
    </row>
    <row r="558" spans="2:9">
      <c r="B558" s="1020" t="s">
        <v>2022</v>
      </c>
      <c r="C558" s="819"/>
      <c r="D558" s="819"/>
      <c r="E558" s="836"/>
      <c r="F558" s="860"/>
      <c r="G558" s="860"/>
      <c r="I558" s="1263"/>
    </row>
    <row r="559" spans="2:9">
      <c r="B559" s="852" t="s">
        <v>2029</v>
      </c>
      <c r="C559" s="819"/>
      <c r="D559" s="819"/>
      <c r="E559" s="836"/>
      <c r="F559" s="1028">
        <f>+'CLOSING STOCK 31-03-20'!N10+'CLOSING STOCK 31-03-20'!N42</f>
        <v>280004007.75</v>
      </c>
      <c r="G559" s="1028">
        <v>275008119.5</v>
      </c>
      <c r="I559" s="1263"/>
    </row>
    <row r="560" spans="2:9">
      <c r="B560" s="852" t="s">
        <v>2030</v>
      </c>
      <c r="C560" s="819"/>
      <c r="D560" s="819"/>
      <c r="E560" s="836"/>
      <c r="F560" s="1342">
        <f>+F559/(F549+F559)</f>
        <v>0.6468456706994884</v>
      </c>
      <c r="G560" s="1193">
        <f>+G559/(G549+G559)</f>
        <v>0.62630463017781068</v>
      </c>
      <c r="I560" s="1263"/>
    </row>
    <row r="561" spans="2:9">
      <c r="B561" s="939"/>
      <c r="C561" s="819"/>
      <c r="D561" s="819"/>
      <c r="E561" s="836"/>
      <c r="F561" s="860"/>
      <c r="G561" s="860"/>
      <c r="I561" s="1263"/>
    </row>
    <row r="562" spans="2:9">
      <c r="B562" s="1020" t="s">
        <v>2023</v>
      </c>
      <c r="C562" s="819"/>
      <c r="D562" s="819"/>
      <c r="E562" s="836"/>
      <c r="F562" s="860"/>
      <c r="G562" s="860"/>
      <c r="I562" s="1263"/>
    </row>
    <row r="563" spans="2:9">
      <c r="B563" s="852" t="s">
        <v>2029</v>
      </c>
      <c r="C563" s="819"/>
      <c r="D563" s="819"/>
      <c r="E563" s="836"/>
      <c r="F563" s="1028">
        <f>+'CLOSING STOCK 31-03-20'!N42</f>
        <v>41830145.75</v>
      </c>
      <c r="G563" s="1028">
        <v>49051112.75</v>
      </c>
      <c r="I563" s="1263"/>
    </row>
    <row r="564" spans="2:9">
      <c r="B564" s="852" t="s">
        <v>2030</v>
      </c>
      <c r="C564" s="819"/>
      <c r="D564" s="819"/>
      <c r="E564" s="836"/>
      <c r="F564" s="1342">
        <v>1</v>
      </c>
      <c r="G564" s="1342">
        <v>1</v>
      </c>
      <c r="I564" s="1263"/>
    </row>
    <row r="565" spans="2:9">
      <c r="B565" s="939"/>
      <c r="C565" s="819"/>
      <c r="D565" s="819"/>
      <c r="E565" s="836"/>
      <c r="F565" s="860"/>
      <c r="G565" s="860"/>
      <c r="I565" s="1263"/>
    </row>
    <row r="566" spans="2:9">
      <c r="B566" s="1020" t="s">
        <v>1976</v>
      </c>
      <c r="C566" s="819"/>
      <c r="D566" s="819"/>
      <c r="E566" s="836"/>
      <c r="F566" s="860"/>
      <c r="G566" s="860"/>
      <c r="I566" s="1263"/>
    </row>
    <row r="567" spans="2:9">
      <c r="B567" s="852" t="s">
        <v>2029</v>
      </c>
      <c r="C567" s="819"/>
      <c r="D567" s="819"/>
      <c r="E567" s="836"/>
      <c r="F567" s="1028">
        <f>+F471-F535</f>
        <v>4908224.8599999994</v>
      </c>
      <c r="G567" s="1027">
        <f>+G471-G535</f>
        <v>6365174.9000000004</v>
      </c>
      <c r="I567" s="1263"/>
    </row>
    <row r="568" spans="2:9">
      <c r="B568" s="852" t="s">
        <v>2030</v>
      </c>
      <c r="C568" s="819"/>
      <c r="D568" s="819"/>
      <c r="E568" s="836"/>
      <c r="F568" s="1342">
        <f>+F567/(F567+F553)</f>
        <v>0.80885603586750277</v>
      </c>
      <c r="G568" s="1193">
        <f>+G567/(G567+G553)</f>
        <v>1</v>
      </c>
      <c r="I568" s="1263"/>
    </row>
    <row r="569" spans="2:9">
      <c r="B569" s="939"/>
      <c r="C569" s="819"/>
      <c r="D569" s="819"/>
      <c r="E569" s="836"/>
      <c r="F569" s="860"/>
      <c r="G569" s="860"/>
      <c r="I569" s="1263"/>
    </row>
    <row r="570" spans="2:9">
      <c r="B570" s="939" t="s">
        <v>2033</v>
      </c>
      <c r="C570" s="819"/>
      <c r="D570" s="819"/>
      <c r="E570" s="836"/>
      <c r="F570" s="860"/>
      <c r="G570" s="860"/>
      <c r="I570" s="1263"/>
    </row>
    <row r="571" spans="2:9">
      <c r="B571" s="939" t="s">
        <v>2025</v>
      </c>
      <c r="C571" s="819"/>
      <c r="D571" s="819"/>
      <c r="E571" s="836"/>
      <c r="F571" s="860"/>
      <c r="G571" s="860"/>
      <c r="I571" s="1263"/>
    </row>
    <row r="572" spans="2:9">
      <c r="B572" s="1020" t="s">
        <v>2034</v>
      </c>
      <c r="C572" s="819"/>
      <c r="D572" s="819"/>
      <c r="E572" s="836"/>
      <c r="F572" s="860"/>
      <c r="G572" s="860"/>
      <c r="I572" s="1263"/>
    </row>
    <row r="573" spans="2:9">
      <c r="B573" s="852" t="s">
        <v>2025</v>
      </c>
      <c r="C573" s="819"/>
      <c r="D573" s="819"/>
      <c r="E573" s="836"/>
      <c r="F573" s="1028">
        <f>+F428</f>
        <v>698726028.5999999</v>
      </c>
      <c r="G573" s="1027">
        <f>+G428</f>
        <v>805648112.33000004</v>
      </c>
      <c r="I573" s="1263"/>
    </row>
    <row r="574" spans="2:9">
      <c r="B574" s="939"/>
      <c r="C574" s="819"/>
      <c r="D574" s="819"/>
      <c r="E574" s="836"/>
      <c r="F574" s="860"/>
      <c r="G574" s="860"/>
      <c r="I574" s="1263"/>
    </row>
    <row r="575" spans="2:9">
      <c r="B575" s="921" t="s">
        <v>2036</v>
      </c>
      <c r="C575" s="819"/>
      <c r="D575" s="819"/>
      <c r="E575" s="836"/>
      <c r="F575" s="833"/>
      <c r="G575" s="833"/>
      <c r="I575" s="1263"/>
    </row>
    <row r="576" spans="2:9">
      <c r="B576" s="852" t="s">
        <v>987</v>
      </c>
      <c r="C576" s="819"/>
      <c r="D576" s="819"/>
      <c r="E576" s="836"/>
      <c r="F576" s="831">
        <f>+F476</f>
        <v>275000</v>
      </c>
      <c r="G576" s="831">
        <f>+G476</f>
        <v>250000</v>
      </c>
      <c r="I576" s="1263"/>
    </row>
    <row r="577" spans="1:19">
      <c r="B577" s="852" t="s">
        <v>959</v>
      </c>
      <c r="C577" s="819"/>
      <c r="D577" s="819"/>
      <c r="E577" s="836"/>
      <c r="F577" s="974">
        <f>+F478</f>
        <v>11546</v>
      </c>
      <c r="G577" s="974">
        <f>+G478</f>
        <v>15815</v>
      </c>
      <c r="I577" s="1263"/>
    </row>
    <row r="578" spans="1:19">
      <c r="B578" s="852"/>
      <c r="C578" s="819"/>
      <c r="D578" s="819"/>
      <c r="E578" s="836"/>
      <c r="F578" s="974">
        <f>+F576+F577</f>
        <v>286546</v>
      </c>
      <c r="G578" s="974">
        <f>+G576+G577</f>
        <v>265815</v>
      </c>
      <c r="I578" s="1263"/>
    </row>
    <row r="579" spans="1:19">
      <c r="B579" s="852"/>
      <c r="C579" s="819"/>
      <c r="D579" s="819"/>
      <c r="E579" s="836"/>
      <c r="F579" s="831"/>
      <c r="G579" s="831"/>
      <c r="I579" s="1263"/>
    </row>
    <row r="580" spans="1:19">
      <c r="B580" s="852"/>
      <c r="C580" s="819"/>
      <c r="D580" s="819"/>
      <c r="E580" s="836"/>
      <c r="F580" s="831"/>
      <c r="G580" s="831"/>
      <c r="I580" s="1263"/>
    </row>
    <row r="581" spans="1:19" s="858" customFormat="1">
      <c r="A581" s="1060"/>
      <c r="B581" s="1498" t="s">
        <v>750</v>
      </c>
      <c r="C581" s="1499"/>
      <c r="D581" s="1499"/>
      <c r="E581" s="1499"/>
      <c r="F581" s="1499"/>
      <c r="G581" s="1500"/>
      <c r="H581" s="1266"/>
      <c r="I581" s="1300"/>
      <c r="J581" s="1278"/>
      <c r="K581" s="1278"/>
      <c r="L581" s="1278"/>
      <c r="M581" s="1278"/>
      <c r="N581" s="1278"/>
      <c r="O581" s="1278"/>
      <c r="P581" s="1278"/>
      <c r="Q581" s="1278"/>
      <c r="R581" s="1278"/>
      <c r="S581" s="1278"/>
    </row>
    <row r="582" spans="1:19">
      <c r="A582" s="853"/>
      <c r="B582" s="1501" t="s">
        <v>1299</v>
      </c>
      <c r="C582" s="1502"/>
      <c r="D582" s="1502"/>
      <c r="E582" s="1502"/>
      <c r="F582" s="1502"/>
      <c r="G582" s="1503"/>
      <c r="I582" s="1300"/>
    </row>
    <row r="583" spans="1:19">
      <c r="B583" s="1021" t="s">
        <v>2037</v>
      </c>
      <c r="C583" s="819"/>
      <c r="D583" s="819"/>
      <c r="E583" s="970"/>
      <c r="F583" s="1115" t="s">
        <v>2008</v>
      </c>
      <c r="G583" s="1115" t="s">
        <v>2008</v>
      </c>
      <c r="I583" s="1263"/>
    </row>
    <row r="584" spans="1:19">
      <c r="B584" s="1021"/>
      <c r="C584" s="819"/>
      <c r="D584" s="819"/>
      <c r="E584" s="836"/>
      <c r="F584" s="825" t="s">
        <v>2004</v>
      </c>
      <c r="G584" s="825" t="s">
        <v>2005</v>
      </c>
      <c r="I584" s="1263"/>
    </row>
    <row r="585" spans="1:19">
      <c r="B585" s="939" t="s">
        <v>988</v>
      </c>
      <c r="C585" s="819"/>
      <c r="D585" s="819"/>
      <c r="E585" s="1026"/>
      <c r="F585" s="860"/>
      <c r="G585" s="860"/>
      <c r="I585" s="1263"/>
    </row>
    <row r="586" spans="1:19">
      <c r="B586" s="939" t="s">
        <v>989</v>
      </c>
      <c r="C586" s="819"/>
      <c r="D586" s="819"/>
      <c r="E586" s="1026"/>
      <c r="F586" s="989">
        <f>+F607</f>
        <v>4494616</v>
      </c>
      <c r="G586" s="989">
        <f>+G607</f>
        <v>4161629</v>
      </c>
      <c r="I586" s="1263"/>
    </row>
    <row r="587" spans="1:19" ht="84" customHeight="1">
      <c r="B587" s="1414" t="s">
        <v>990</v>
      </c>
      <c r="C587" s="1415"/>
      <c r="D587" s="1415"/>
      <c r="E587" s="1415"/>
      <c r="F587" s="1343"/>
      <c r="G587" s="1032"/>
      <c r="H587" s="1296"/>
      <c r="I587" s="1297"/>
    </row>
    <row r="588" spans="1:19">
      <c r="B588" s="832"/>
      <c r="C588" s="1033"/>
      <c r="D588" s="1033"/>
      <c r="E588" s="1033"/>
      <c r="F588" s="1034"/>
      <c r="G588" s="1034"/>
      <c r="H588" s="1296"/>
      <c r="I588" s="1297"/>
    </row>
    <row r="589" spans="1:19">
      <c r="B589" s="1148" t="s">
        <v>991</v>
      </c>
      <c r="C589" s="1149"/>
      <c r="D589" s="1149"/>
      <c r="E589" s="1149"/>
      <c r="F589" s="1149"/>
      <c r="G589" s="1150"/>
      <c r="H589" s="1270"/>
      <c r="I589" s="1298"/>
    </row>
    <row r="590" spans="1:19">
      <c r="B590" s="1126" t="s">
        <v>546</v>
      </c>
      <c r="C590" s="1035"/>
      <c r="D590" s="1036"/>
      <c r="E590" s="1151"/>
      <c r="F590" s="1115" t="s">
        <v>2008</v>
      </c>
      <c r="G590" s="1115" t="s">
        <v>2008</v>
      </c>
      <c r="I590" s="1298"/>
    </row>
    <row r="591" spans="1:19">
      <c r="B591" s="1037"/>
      <c r="C591" s="1038"/>
      <c r="D591" s="890"/>
      <c r="E591" s="920"/>
      <c r="F591" s="825" t="s">
        <v>2004</v>
      </c>
      <c r="G591" s="825" t="s">
        <v>2005</v>
      </c>
      <c r="I591" s="1298"/>
    </row>
    <row r="592" spans="1:19" ht="15.75" customHeight="1">
      <c r="B592" s="1152" t="s">
        <v>992</v>
      </c>
      <c r="C592" s="1039"/>
      <c r="D592" s="1039"/>
      <c r="E592" s="1040"/>
      <c r="F592" s="831"/>
      <c r="G592" s="831"/>
      <c r="I592" s="1298"/>
    </row>
    <row r="593" spans="2:9">
      <c r="B593" s="1041" t="s">
        <v>993</v>
      </c>
      <c r="C593" s="1042"/>
      <c r="D593" s="948"/>
      <c r="E593" s="973"/>
      <c r="F593" s="831">
        <f>+G600</f>
        <v>6781359</v>
      </c>
      <c r="G593" s="1043">
        <v>5967726</v>
      </c>
      <c r="I593" s="1298"/>
    </row>
    <row r="594" spans="2:9">
      <c r="B594" s="1041" t="s">
        <v>994</v>
      </c>
      <c r="C594" s="1042"/>
      <c r="D594" s="948"/>
      <c r="E594" s="973"/>
      <c r="F594" s="831">
        <v>460436</v>
      </c>
      <c r="G594" s="1043">
        <v>428611</v>
      </c>
      <c r="I594" s="1298"/>
    </row>
    <row r="595" spans="2:9">
      <c r="B595" s="1041" t="s">
        <v>995</v>
      </c>
      <c r="C595" s="1042"/>
      <c r="D595" s="948"/>
      <c r="E595" s="954"/>
      <c r="F595" s="831">
        <v>0</v>
      </c>
      <c r="G595" s="1043">
        <v>0</v>
      </c>
      <c r="I595" s="1298"/>
    </row>
    <row r="596" spans="2:9">
      <c r="B596" s="1041" t="s">
        <v>996</v>
      </c>
      <c r="C596" s="1042"/>
      <c r="D596" s="948"/>
      <c r="E596" s="954"/>
      <c r="F596" s="831">
        <v>528268</v>
      </c>
      <c r="G596" s="1043">
        <v>467273</v>
      </c>
      <c r="I596" s="1298"/>
    </row>
    <row r="597" spans="2:9">
      <c r="B597" s="1041" t="s">
        <v>997</v>
      </c>
      <c r="C597" s="1042"/>
      <c r="D597" s="948"/>
      <c r="E597" s="954"/>
      <c r="F597" s="1043">
        <f>307910-155010</f>
        <v>152900</v>
      </c>
      <c r="G597" s="1043">
        <v>497798</v>
      </c>
      <c r="I597" s="1298"/>
    </row>
    <row r="598" spans="2:9">
      <c r="B598" s="1041" t="s">
        <v>998</v>
      </c>
      <c r="C598" s="1042"/>
      <c r="D598" s="948"/>
      <c r="E598" s="954"/>
      <c r="F598" s="1043">
        <v>-203896</v>
      </c>
      <c r="G598" s="1043">
        <v>-580049</v>
      </c>
      <c r="I598" s="1298"/>
    </row>
    <row r="599" spans="2:9">
      <c r="B599" s="853" t="s">
        <v>999</v>
      </c>
      <c r="C599" s="1042"/>
      <c r="D599" s="948"/>
      <c r="E599" s="954"/>
      <c r="F599" s="831"/>
      <c r="G599" s="969">
        <v>0</v>
      </c>
      <c r="I599" s="1298"/>
    </row>
    <row r="600" spans="2:9">
      <c r="B600" s="1044" t="s">
        <v>1000</v>
      </c>
      <c r="C600" s="1042"/>
      <c r="D600" s="948"/>
      <c r="E600" s="970"/>
      <c r="F600" s="1110">
        <f>+SUM(F593:F599)</f>
        <v>7719067</v>
      </c>
      <c r="G600" s="1110">
        <f>+SUM(G593:G599)</f>
        <v>6781359</v>
      </c>
      <c r="I600" s="1298"/>
    </row>
    <row r="601" spans="2:9">
      <c r="B601" s="1041" t="s">
        <v>1001</v>
      </c>
      <c r="C601" s="1042"/>
      <c r="D601" s="948"/>
      <c r="E601" s="954"/>
      <c r="F601" s="831"/>
      <c r="G601" s="831"/>
      <c r="I601" s="1298"/>
    </row>
    <row r="602" spans="2:9">
      <c r="B602" s="1041" t="s">
        <v>1002</v>
      </c>
      <c r="C602" s="1042"/>
      <c r="D602" s="948"/>
      <c r="E602" s="973"/>
      <c r="F602" s="831">
        <f>+G607</f>
        <v>4161629</v>
      </c>
      <c r="G602" s="1043">
        <v>3998549</v>
      </c>
      <c r="I602" s="1298"/>
    </row>
    <row r="603" spans="2:9">
      <c r="B603" s="1041" t="s">
        <v>1003</v>
      </c>
      <c r="C603" s="1042"/>
      <c r="D603" s="948"/>
      <c r="E603" s="954"/>
      <c r="F603" s="831">
        <v>324191</v>
      </c>
      <c r="G603" s="1043">
        <v>313086</v>
      </c>
      <c r="I603" s="1298"/>
    </row>
    <row r="604" spans="2:9">
      <c r="B604" s="1041" t="s">
        <v>1004</v>
      </c>
      <c r="C604" s="1042"/>
      <c r="D604" s="948"/>
      <c r="E604" s="954"/>
      <c r="F604" s="1043">
        <v>-33351</v>
      </c>
      <c r="G604" s="1043">
        <v>-37760</v>
      </c>
      <c r="I604" s="1298"/>
    </row>
    <row r="605" spans="2:9">
      <c r="B605" s="1041" t="s">
        <v>1005</v>
      </c>
      <c r="C605" s="1042"/>
      <c r="D605" s="948"/>
      <c r="E605" s="954"/>
      <c r="F605" s="831">
        <v>246043</v>
      </c>
      <c r="G605" s="1043">
        <v>467803</v>
      </c>
      <c r="I605" s="1298"/>
    </row>
    <row r="606" spans="2:9">
      <c r="B606" s="1041" t="s">
        <v>998</v>
      </c>
      <c r="C606" s="1042"/>
      <c r="D606" s="948"/>
      <c r="E606" s="954"/>
      <c r="F606" s="1045">
        <v>-203896</v>
      </c>
      <c r="G606" s="1043">
        <v>-580049</v>
      </c>
      <c r="I606" s="1298"/>
    </row>
    <row r="607" spans="2:9">
      <c r="B607" s="1044" t="s">
        <v>1006</v>
      </c>
      <c r="C607" s="1042"/>
      <c r="D607" s="948"/>
      <c r="E607" s="970"/>
      <c r="F607" s="1110">
        <f>+SUM(F602:F606)</f>
        <v>4494616</v>
      </c>
      <c r="G607" s="1110">
        <f>+SUM(G602:G606)</f>
        <v>4161629</v>
      </c>
      <c r="I607" s="1298"/>
    </row>
    <row r="608" spans="2:9" ht="36" customHeight="1">
      <c r="B608" s="1046" t="s">
        <v>991</v>
      </c>
      <c r="C608" s="1047"/>
      <c r="D608" s="1047"/>
      <c r="E608" s="1040"/>
      <c r="F608" s="831"/>
      <c r="G608" s="831"/>
      <c r="I608" s="1298"/>
    </row>
    <row r="609" spans="2:9">
      <c r="B609" s="1041" t="s">
        <v>1007</v>
      </c>
      <c r="C609" s="1042"/>
      <c r="D609" s="948"/>
      <c r="E609" s="954"/>
      <c r="F609" s="1045">
        <f>-F607</f>
        <v>-4494616</v>
      </c>
      <c r="G609" s="1045">
        <v>-4161629</v>
      </c>
      <c r="I609" s="1298"/>
    </row>
    <row r="610" spans="2:9">
      <c r="B610" s="1048" t="s">
        <v>1008</v>
      </c>
      <c r="C610" s="1042"/>
      <c r="D610" s="948"/>
      <c r="E610" s="954"/>
      <c r="F610" s="1049">
        <f>+F600</f>
        <v>7719067</v>
      </c>
      <c r="G610" s="1049">
        <v>6781359</v>
      </c>
      <c r="I610" s="1298"/>
    </row>
    <row r="611" spans="2:9">
      <c r="B611" s="1050" t="s">
        <v>1009</v>
      </c>
      <c r="C611" s="1042"/>
      <c r="D611" s="948"/>
      <c r="E611" s="1051"/>
      <c r="F611" s="1153">
        <f>+SUM(F609:F610)</f>
        <v>3224451</v>
      </c>
      <c r="G611" s="1153">
        <f>+SUM(G609:G610)</f>
        <v>2619730</v>
      </c>
      <c r="I611" s="1298"/>
    </row>
    <row r="612" spans="2:9">
      <c r="B612" s="1041" t="s">
        <v>1010</v>
      </c>
      <c r="C612" s="1042"/>
      <c r="D612" s="948"/>
      <c r="E612" s="954"/>
      <c r="F612" s="831"/>
      <c r="G612" s="831"/>
      <c r="I612" s="1298"/>
    </row>
    <row r="613" spans="2:9">
      <c r="B613" s="1041" t="s">
        <v>994</v>
      </c>
      <c r="C613" s="1042"/>
      <c r="D613" s="948"/>
      <c r="E613" s="954"/>
      <c r="F613" s="831">
        <v>460436</v>
      </c>
      <c r="G613" s="831">
        <v>428611</v>
      </c>
      <c r="I613" s="1298"/>
    </row>
    <row r="614" spans="2:9">
      <c r="B614" s="1041" t="s">
        <v>995</v>
      </c>
      <c r="C614" s="1042"/>
      <c r="D614" s="948"/>
      <c r="E614" s="954"/>
      <c r="F614" s="831">
        <v>0</v>
      </c>
      <c r="G614" s="831">
        <v>0</v>
      </c>
      <c r="I614" s="1298"/>
    </row>
    <row r="615" spans="2:9">
      <c r="B615" s="1041" t="s">
        <v>996</v>
      </c>
      <c r="C615" s="1042"/>
      <c r="D615" s="948"/>
      <c r="E615" s="954"/>
      <c r="F615" s="831">
        <v>528268</v>
      </c>
      <c r="G615" s="831">
        <v>467273</v>
      </c>
      <c r="I615" s="1298"/>
    </row>
    <row r="616" spans="2:9">
      <c r="B616" s="1041" t="s">
        <v>1003</v>
      </c>
      <c r="C616" s="1042"/>
      <c r="D616" s="948"/>
      <c r="E616" s="954"/>
      <c r="F616" s="1045">
        <v>-324191</v>
      </c>
      <c r="G616" s="1045">
        <v>-313086</v>
      </c>
      <c r="I616" s="1298"/>
    </row>
    <row r="617" spans="2:9">
      <c r="B617" s="1041" t="s">
        <v>997</v>
      </c>
      <c r="C617" s="1042"/>
      <c r="D617" s="948"/>
      <c r="E617" s="954"/>
      <c r="F617" s="1045">
        <v>186251</v>
      </c>
      <c r="G617" s="1045">
        <v>535558</v>
      </c>
      <c r="I617" s="1298"/>
    </row>
    <row r="618" spans="2:9">
      <c r="B618" s="1044" t="s">
        <v>1011</v>
      </c>
      <c r="C618" s="1042"/>
      <c r="D618" s="948"/>
      <c r="E618" s="970"/>
      <c r="F618" s="1110">
        <f>+SUM(F613:F617)</f>
        <v>850764</v>
      </c>
      <c r="G618" s="1110">
        <f>+SUM(G613:G617)</f>
        <v>1118356</v>
      </c>
      <c r="I618" s="1298" t="s">
        <v>749</v>
      </c>
    </row>
    <row r="619" spans="2:9">
      <c r="B619" s="1041" t="s">
        <v>1012</v>
      </c>
      <c r="C619" s="1042"/>
      <c r="D619" s="948"/>
      <c r="E619" s="954"/>
      <c r="F619" s="831"/>
      <c r="G619" s="831"/>
      <c r="I619" s="1298"/>
    </row>
    <row r="620" spans="2:9">
      <c r="B620" s="1041" t="s">
        <v>1013</v>
      </c>
      <c r="C620" s="1042"/>
      <c r="D620" s="948"/>
      <c r="E620" s="954"/>
      <c r="F620" s="1052">
        <v>6.8599999999999994E-2</v>
      </c>
      <c r="G620" s="1052">
        <v>7.7899999999999997E-2</v>
      </c>
      <c r="I620" s="1298"/>
    </row>
    <row r="621" spans="2:9">
      <c r="B621" s="1041" t="s">
        <v>1014</v>
      </c>
      <c r="C621" s="1042"/>
      <c r="D621" s="948"/>
      <c r="E621" s="954"/>
      <c r="F621" s="1052">
        <v>6.8599999999999994E-2</v>
      </c>
      <c r="G621" s="1052">
        <v>7.7899999999999997E-2</v>
      </c>
      <c r="I621" s="1298"/>
    </row>
    <row r="622" spans="2:9">
      <c r="B622" s="1053" t="s">
        <v>1015</v>
      </c>
      <c r="C622" s="1038"/>
      <c r="D622" s="890"/>
      <c r="E622" s="920"/>
      <c r="F622" s="1054">
        <v>0.06</v>
      </c>
      <c r="G622" s="1054">
        <v>0.06</v>
      </c>
      <c r="I622" s="1298"/>
    </row>
    <row r="623" spans="2:9">
      <c r="B623" s="1053" t="s">
        <v>1016</v>
      </c>
      <c r="C623" s="1038"/>
      <c r="D623" s="890"/>
      <c r="E623" s="1055"/>
      <c r="F623" s="1054">
        <f>+SUM(F620:F622)</f>
        <v>0.19719999999999999</v>
      </c>
      <c r="G623" s="1054">
        <f>+SUM(G620:G622)</f>
        <v>0.21579999999999999</v>
      </c>
      <c r="I623" s="1298"/>
    </row>
    <row r="624" spans="2:9">
      <c r="B624" s="1037" t="s">
        <v>1017</v>
      </c>
      <c r="C624" s="1038"/>
      <c r="D624" s="890"/>
      <c r="E624" s="1056"/>
      <c r="F624" s="1057">
        <f>F603+F604</f>
        <v>290840</v>
      </c>
      <c r="G624" s="1057">
        <f>G603+G604</f>
        <v>275326</v>
      </c>
      <c r="I624" s="1298"/>
    </row>
    <row r="625" spans="1:19">
      <c r="B625" s="1360"/>
      <c r="C625" s="1361"/>
      <c r="D625" s="1361"/>
      <c r="E625" s="1361"/>
      <c r="F625" s="1361"/>
      <c r="G625" s="1362"/>
      <c r="I625" s="1299"/>
    </row>
    <row r="626" spans="1:19">
      <c r="B626" s="939" t="s">
        <v>1018</v>
      </c>
      <c r="C626" s="819"/>
      <c r="D626" s="820"/>
      <c r="E626" s="820"/>
      <c r="F626" s="885"/>
      <c r="G626" s="1026"/>
      <c r="I626" s="1281"/>
    </row>
    <row r="627" spans="1:19">
      <c r="B627" s="914" t="s">
        <v>1019</v>
      </c>
      <c r="C627" s="915"/>
      <c r="D627" s="915"/>
      <c r="E627" s="915"/>
      <c r="F627" s="1058"/>
      <c r="G627" s="1059"/>
      <c r="I627" s="1283"/>
    </row>
    <row r="628" spans="1:19" s="858" customFormat="1" hidden="1">
      <c r="A628" s="1060"/>
      <c r="B628" s="1498" t="s">
        <v>750</v>
      </c>
      <c r="C628" s="1499"/>
      <c r="D628" s="1499"/>
      <c r="E628" s="1499"/>
      <c r="F628" s="1499"/>
      <c r="G628" s="1500"/>
      <c r="H628" s="1266"/>
      <c r="I628" s="1300"/>
      <c r="J628" s="1278"/>
      <c r="K628" s="1278"/>
      <c r="L628" s="1278"/>
      <c r="M628" s="1278"/>
      <c r="N628" s="1278"/>
      <c r="O628" s="1278"/>
      <c r="P628" s="1278"/>
      <c r="Q628" s="1278"/>
      <c r="R628" s="1278"/>
      <c r="S628" s="1278"/>
    </row>
    <row r="629" spans="1:19" hidden="1">
      <c r="A629" s="853"/>
      <c r="B629" s="1501" t="s">
        <v>1299</v>
      </c>
      <c r="C629" s="1502"/>
      <c r="D629" s="1502"/>
      <c r="E629" s="1502"/>
      <c r="F629" s="1502"/>
      <c r="G629" s="1503"/>
      <c r="I629" s="1300"/>
    </row>
    <row r="630" spans="1:19">
      <c r="A630" s="853"/>
      <c r="B630" s="1363"/>
      <c r="C630" s="1364"/>
      <c r="D630" s="1364"/>
      <c r="E630" s="1364"/>
      <c r="F630" s="1364"/>
      <c r="G630" s="1365"/>
      <c r="I630" s="1300"/>
    </row>
    <row r="631" spans="1:19">
      <c r="A631" s="853"/>
      <c r="B631" s="1154" t="s">
        <v>1957</v>
      </c>
      <c r="C631" s="1062"/>
      <c r="D631" s="1062"/>
      <c r="E631" s="1062"/>
      <c r="F631" s="1063"/>
      <c r="G631" s="1155"/>
      <c r="I631" s="1301"/>
    </row>
    <row r="632" spans="1:19" ht="15.75" customHeight="1">
      <c r="A632" s="853"/>
      <c r="B632" s="1422" t="s">
        <v>1159</v>
      </c>
      <c r="C632" s="1423"/>
      <c r="D632" s="1423"/>
      <c r="E632" s="1423"/>
      <c r="F632" s="1423"/>
      <c r="G632" s="1424"/>
      <c r="I632" s="1297"/>
    </row>
    <row r="633" spans="1:19">
      <c r="A633" s="853"/>
      <c r="B633" s="1422"/>
      <c r="C633" s="1423"/>
      <c r="D633" s="1423"/>
      <c r="E633" s="1423"/>
      <c r="F633" s="1423"/>
      <c r="G633" s="1424"/>
      <c r="I633" s="1297"/>
    </row>
    <row r="634" spans="1:19">
      <c r="A634" s="853"/>
      <c r="B634" s="1422"/>
      <c r="C634" s="1423"/>
      <c r="D634" s="1423"/>
      <c r="E634" s="1423"/>
      <c r="F634" s="1423"/>
      <c r="G634" s="1424"/>
      <c r="I634" s="1302"/>
    </row>
    <row r="635" spans="1:19">
      <c r="A635" s="853"/>
      <c r="B635" s="1422"/>
      <c r="C635" s="1423"/>
      <c r="D635" s="1423"/>
      <c r="E635" s="1423"/>
      <c r="F635" s="1423"/>
      <c r="G635" s="1424"/>
      <c r="I635" s="1303"/>
    </row>
    <row r="636" spans="1:19" ht="26.25" customHeight="1">
      <c r="A636" s="853"/>
      <c r="B636" s="1422"/>
      <c r="C636" s="1423"/>
      <c r="D636" s="1423"/>
      <c r="E636" s="1423"/>
      <c r="F636" s="1423"/>
      <c r="G636" s="1424"/>
      <c r="I636" s="1303"/>
    </row>
    <row r="637" spans="1:19">
      <c r="A637" s="853"/>
      <c r="B637" s="921" t="s">
        <v>2038</v>
      </c>
      <c r="C637" s="819"/>
      <c r="D637" s="837"/>
      <c r="E637" s="837"/>
      <c r="F637" s="918"/>
      <c r="G637" s="1066"/>
      <c r="I637" s="1283"/>
    </row>
    <row r="638" spans="1:19" ht="15.75" customHeight="1">
      <c r="A638" s="853"/>
      <c r="B638" s="1417" t="s">
        <v>2019</v>
      </c>
      <c r="C638" s="1418"/>
      <c r="D638" s="1418"/>
      <c r="E638" s="1418"/>
      <c r="F638" s="1418"/>
      <c r="G638" s="1419"/>
      <c r="I638" s="1304"/>
    </row>
    <row r="639" spans="1:19">
      <c r="A639" s="853"/>
      <c r="B639" s="1417"/>
      <c r="C639" s="1418"/>
      <c r="D639" s="1418"/>
      <c r="E639" s="1418"/>
      <c r="F639" s="1418"/>
      <c r="G639" s="1419"/>
      <c r="I639" s="1304"/>
    </row>
    <row r="640" spans="1:19">
      <c r="A640" s="853"/>
      <c r="B640" s="1417"/>
      <c r="C640" s="1418"/>
      <c r="D640" s="1418"/>
      <c r="E640" s="1418"/>
      <c r="F640" s="1418"/>
      <c r="G640" s="1419"/>
      <c r="I640" s="1304"/>
    </row>
    <row r="641" spans="1:9" ht="1.5" customHeight="1">
      <c r="A641" s="853"/>
      <c r="B641" s="1417"/>
      <c r="C641" s="1418"/>
      <c r="D641" s="1418"/>
      <c r="E641" s="1418"/>
      <c r="F641" s="1418"/>
      <c r="G641" s="1419"/>
      <c r="I641" s="1303"/>
    </row>
    <row r="642" spans="1:9" ht="20.25" customHeight="1">
      <c r="A642" s="853"/>
      <c r="B642" s="1357"/>
      <c r="C642" s="1358"/>
      <c r="D642" s="1358"/>
      <c r="E642" s="1358"/>
      <c r="F642" s="1358"/>
      <c r="G642" s="1359"/>
      <c r="I642" s="1303"/>
    </row>
    <row r="643" spans="1:9">
      <c r="A643" s="853"/>
      <c r="B643" s="921" t="s">
        <v>2039</v>
      </c>
      <c r="C643" s="922"/>
      <c r="D643" s="948"/>
      <c r="E643" s="948"/>
      <c r="F643" s="997"/>
      <c r="G643" s="970"/>
      <c r="I643" s="1305"/>
    </row>
    <row r="644" spans="1:9">
      <c r="A644" s="853"/>
      <c r="B644" s="939"/>
      <c r="C644" s="851"/>
      <c r="D644" s="948"/>
      <c r="E644" s="948"/>
      <c r="F644" s="997"/>
      <c r="G644" s="970"/>
      <c r="I644" s="1305"/>
    </row>
    <row r="645" spans="1:9">
      <c r="A645" s="853"/>
      <c r="B645" s="899" t="s">
        <v>1020</v>
      </c>
      <c r="C645" s="894"/>
      <c r="D645" s="948"/>
      <c r="E645" s="948"/>
      <c r="F645" s="997"/>
      <c r="G645" s="970"/>
      <c r="I645" s="1305"/>
    </row>
    <row r="646" spans="1:9">
      <c r="A646" s="853"/>
      <c r="B646" s="896" t="s">
        <v>1021</v>
      </c>
      <c r="C646" s="894"/>
      <c r="D646" s="948"/>
      <c r="E646" s="948"/>
      <c r="F646" s="997"/>
      <c r="G646" s="970"/>
      <c r="I646" s="1305"/>
    </row>
    <row r="647" spans="1:9">
      <c r="A647" s="853"/>
      <c r="B647" s="896" t="s">
        <v>1022</v>
      </c>
      <c r="C647" s="894"/>
      <c r="D647" s="948"/>
      <c r="E647" s="948"/>
      <c r="F647" s="997"/>
      <c r="G647" s="970"/>
      <c r="I647" s="1305"/>
    </row>
    <row r="648" spans="1:9">
      <c r="A648" s="853"/>
      <c r="B648" s="896" t="s">
        <v>1023</v>
      </c>
      <c r="C648" s="894"/>
      <c r="D648" s="948"/>
      <c r="E648" s="948"/>
      <c r="F648" s="997"/>
      <c r="G648" s="970"/>
      <c r="I648" s="1305"/>
    </row>
    <row r="649" spans="1:9">
      <c r="A649" s="853"/>
      <c r="B649" s="896" t="s">
        <v>1024</v>
      </c>
      <c r="C649" s="894"/>
      <c r="D649" s="948"/>
      <c r="E649" s="948"/>
      <c r="F649" s="997"/>
      <c r="G649" s="970"/>
      <c r="I649" s="1305"/>
    </row>
    <row r="650" spans="1:9">
      <c r="A650" s="853"/>
      <c r="B650" s="899" t="s">
        <v>1025</v>
      </c>
      <c r="C650" s="894"/>
      <c r="D650" s="948"/>
      <c r="E650" s="948"/>
      <c r="F650" s="997"/>
      <c r="G650" s="970"/>
      <c r="I650" s="1305"/>
    </row>
    <row r="651" spans="1:9">
      <c r="A651" s="853"/>
      <c r="B651" s="896" t="s">
        <v>2017</v>
      </c>
      <c r="C651" s="894"/>
      <c r="D651" s="948"/>
      <c r="E651" s="948"/>
      <c r="F651" s="997"/>
      <c r="G651" s="970"/>
      <c r="I651" s="1305"/>
    </row>
    <row r="652" spans="1:9">
      <c r="A652" s="853"/>
      <c r="B652" s="896" t="s">
        <v>1026</v>
      </c>
      <c r="C652" s="894"/>
      <c r="D652" s="948"/>
      <c r="E652" s="948"/>
      <c r="F652" s="997"/>
      <c r="G652" s="970"/>
      <c r="I652" s="1305"/>
    </row>
    <row r="653" spans="1:9">
      <c r="A653" s="853"/>
      <c r="B653" s="896" t="s">
        <v>1027</v>
      </c>
      <c r="C653" s="894"/>
      <c r="D653" s="948"/>
      <c r="E653" s="948"/>
      <c r="F653" s="997"/>
      <c r="G653" s="970"/>
      <c r="I653" s="1305"/>
    </row>
    <row r="654" spans="1:9">
      <c r="A654" s="853"/>
      <c r="B654" s="896" t="s">
        <v>1028</v>
      </c>
      <c r="C654" s="894"/>
      <c r="D654" s="948"/>
      <c r="E654" s="948"/>
      <c r="F654" s="997"/>
      <c r="G654" s="970"/>
      <c r="I654" s="1305"/>
    </row>
    <row r="655" spans="1:9">
      <c r="A655" s="853"/>
      <c r="B655" s="896"/>
      <c r="C655" s="894"/>
      <c r="D655" s="948"/>
      <c r="E655" s="948"/>
      <c r="F655" s="997"/>
      <c r="G655" s="970"/>
      <c r="I655" s="1305"/>
    </row>
    <row r="656" spans="1:9">
      <c r="A656" s="853"/>
      <c r="B656" s="939" t="s">
        <v>922</v>
      </c>
      <c r="C656" s="819"/>
      <c r="D656" s="948"/>
      <c r="E656" s="948"/>
      <c r="F656" s="997"/>
      <c r="G656" s="970"/>
      <c r="I656" s="1305"/>
    </row>
    <row r="657" spans="1:19">
      <c r="A657" s="853"/>
      <c r="B657" s="899" t="s">
        <v>1029</v>
      </c>
      <c r="C657" s="894"/>
      <c r="D657" s="948"/>
      <c r="E657" s="948"/>
      <c r="F657" s="997"/>
      <c r="G657" s="970"/>
      <c r="I657" s="1305"/>
    </row>
    <row r="658" spans="1:19">
      <c r="A658" s="853"/>
      <c r="B658" s="896" t="s">
        <v>1030</v>
      </c>
      <c r="C658" s="894"/>
      <c r="D658" s="894" t="s">
        <v>1031</v>
      </c>
      <c r="E658" s="948"/>
      <c r="F658" s="997"/>
      <c r="G658" s="970"/>
      <c r="I658" s="1305"/>
    </row>
    <row r="659" spans="1:19">
      <c r="A659" s="853"/>
      <c r="B659" s="896" t="s">
        <v>1032</v>
      </c>
      <c r="C659" s="894"/>
      <c r="D659" s="894" t="s">
        <v>1777</v>
      </c>
      <c r="E659" s="948"/>
      <c r="F659" s="997"/>
      <c r="G659" s="970"/>
      <c r="I659" s="1305"/>
    </row>
    <row r="660" spans="1:19">
      <c r="A660" s="853"/>
      <c r="B660" s="896" t="s">
        <v>1033</v>
      </c>
      <c r="C660" s="894"/>
      <c r="D660" s="894" t="s">
        <v>1778</v>
      </c>
      <c r="E660" s="948"/>
      <c r="F660" s="997"/>
      <c r="G660" s="970"/>
      <c r="I660" s="1305"/>
    </row>
    <row r="661" spans="1:19">
      <c r="A661" s="853"/>
      <c r="B661" s="896" t="s">
        <v>1034</v>
      </c>
      <c r="C661" s="894"/>
      <c r="D661" s="894" t="s">
        <v>1035</v>
      </c>
      <c r="E661" s="948"/>
      <c r="F661" s="997"/>
      <c r="G661" s="970"/>
      <c r="I661" s="1305"/>
    </row>
    <row r="662" spans="1:19">
      <c r="A662" s="853"/>
      <c r="B662" s="896" t="s">
        <v>1036</v>
      </c>
      <c r="C662" s="894"/>
      <c r="D662" s="894" t="s">
        <v>1037</v>
      </c>
      <c r="E662" s="948"/>
      <c r="F662" s="997"/>
      <c r="G662" s="970"/>
      <c r="I662" s="1305"/>
    </row>
    <row r="663" spans="1:19">
      <c r="A663" s="853"/>
      <c r="B663" s="896" t="s">
        <v>1038</v>
      </c>
      <c r="C663" s="894"/>
      <c r="D663" s="894" t="s">
        <v>1779</v>
      </c>
      <c r="E663" s="948"/>
      <c r="F663" s="997"/>
      <c r="G663" s="970"/>
      <c r="I663" s="1305"/>
    </row>
    <row r="664" spans="1:19">
      <c r="A664" s="853"/>
      <c r="B664" s="896" t="s">
        <v>1039</v>
      </c>
      <c r="C664" s="819"/>
      <c r="D664" s="819" t="s">
        <v>1780</v>
      </c>
      <c r="E664" s="948"/>
      <c r="F664" s="997"/>
      <c r="G664" s="970"/>
      <c r="I664" s="1305"/>
    </row>
    <row r="665" spans="1:19">
      <c r="A665" s="853"/>
      <c r="B665" s="852" t="s">
        <v>1040</v>
      </c>
      <c r="C665" s="819"/>
      <c r="D665" s="819" t="s">
        <v>1781</v>
      </c>
      <c r="E665" s="948"/>
      <c r="F665" s="997"/>
      <c r="G665" s="970"/>
      <c r="I665" s="1305"/>
    </row>
    <row r="666" spans="1:19">
      <c r="A666" s="853"/>
      <c r="B666" s="852" t="s">
        <v>1041</v>
      </c>
      <c r="C666" s="819"/>
      <c r="D666" s="819" t="s">
        <v>1035</v>
      </c>
      <c r="E666" s="948"/>
      <c r="F666" s="997"/>
      <c r="G666" s="970"/>
      <c r="I666" s="1305"/>
    </row>
    <row r="667" spans="1:19">
      <c r="A667" s="853"/>
      <c r="B667" s="852" t="s">
        <v>1042</v>
      </c>
      <c r="C667" s="819"/>
      <c r="D667" s="819" t="s">
        <v>1782</v>
      </c>
      <c r="E667" s="948"/>
      <c r="F667" s="997"/>
      <c r="G667" s="970"/>
      <c r="I667" s="1305"/>
    </row>
    <row r="668" spans="1:19">
      <c r="A668" s="853"/>
      <c r="B668" s="888"/>
      <c r="C668" s="889"/>
      <c r="D668" s="889" t="s">
        <v>1783</v>
      </c>
      <c r="E668" s="890"/>
      <c r="F668" s="1366"/>
      <c r="G668" s="1367"/>
      <c r="I668" s="1305"/>
    </row>
    <row r="669" spans="1:19" s="858" customFormat="1">
      <c r="A669" s="1067"/>
      <c r="B669" s="1498" t="s">
        <v>750</v>
      </c>
      <c r="C669" s="1499"/>
      <c r="D669" s="1499"/>
      <c r="E669" s="1499"/>
      <c r="F669" s="1499"/>
      <c r="G669" s="1500"/>
      <c r="H669" s="1266"/>
      <c r="I669" s="1306"/>
      <c r="J669" s="1278"/>
      <c r="K669" s="1278"/>
      <c r="L669" s="1278"/>
      <c r="M669" s="1278"/>
      <c r="N669" s="1278"/>
      <c r="O669" s="1278"/>
      <c r="P669" s="1278"/>
      <c r="Q669" s="1278"/>
      <c r="R669" s="1278"/>
      <c r="S669" s="1278"/>
    </row>
    <row r="670" spans="1:19">
      <c r="B670" s="1501" t="s">
        <v>1299</v>
      </c>
      <c r="C670" s="1502"/>
      <c r="D670" s="1502"/>
      <c r="E670" s="1502"/>
      <c r="F670" s="1502"/>
      <c r="G670" s="1503"/>
      <c r="I670" s="1306"/>
    </row>
    <row r="671" spans="1:19">
      <c r="A671" s="853"/>
      <c r="B671" s="1126" t="s">
        <v>546</v>
      </c>
      <c r="C671" s="886"/>
      <c r="D671" s="887"/>
      <c r="E671" s="1344"/>
      <c r="F671" s="1115" t="s">
        <v>2008</v>
      </c>
      <c r="G671" s="1115" t="s">
        <v>2008</v>
      </c>
      <c r="I671" s="1263"/>
    </row>
    <row r="672" spans="1:19">
      <c r="A672" s="853"/>
      <c r="B672" s="888"/>
      <c r="C672" s="889"/>
      <c r="D672" s="856"/>
      <c r="E672" s="1191"/>
      <c r="F672" s="825" t="s">
        <v>2004</v>
      </c>
      <c r="G672" s="825" t="s">
        <v>2005</v>
      </c>
      <c r="I672" s="1263"/>
    </row>
    <row r="673" spans="1:9">
      <c r="A673" s="853"/>
      <c r="B673" s="906" t="s">
        <v>1043</v>
      </c>
      <c r="C673" s="1068"/>
      <c r="D673" s="1069"/>
      <c r="E673" s="1345"/>
      <c r="F673" s="1133"/>
      <c r="G673" s="1133"/>
      <c r="I673" s="1263"/>
    </row>
    <row r="674" spans="1:9">
      <c r="A674" s="853"/>
      <c r="B674" s="1021" t="s">
        <v>1044</v>
      </c>
      <c r="C674" s="819"/>
      <c r="D674" s="820"/>
      <c r="E674" s="923"/>
      <c r="F674" s="911"/>
      <c r="G674" s="911"/>
      <c r="I674" s="1263"/>
    </row>
    <row r="675" spans="1:9">
      <c r="A675" s="853"/>
      <c r="B675" s="1021" t="s">
        <v>1045</v>
      </c>
      <c r="C675" s="819"/>
      <c r="D675" s="820"/>
      <c r="E675" s="923"/>
      <c r="F675" s="911"/>
      <c r="G675" s="911"/>
      <c r="I675" s="1263"/>
    </row>
    <row r="676" spans="1:9">
      <c r="A676" s="853"/>
      <c r="B676" s="939" t="s">
        <v>1046</v>
      </c>
      <c r="C676" s="819"/>
      <c r="D676" s="820"/>
      <c r="E676" s="923"/>
      <c r="F676" s="911"/>
      <c r="G676" s="911"/>
      <c r="I676" s="1263"/>
    </row>
    <row r="677" spans="1:9">
      <c r="A677" s="853"/>
      <c r="B677" s="852" t="s">
        <v>2017</v>
      </c>
      <c r="C677" s="819"/>
      <c r="D677" s="820"/>
      <c r="E677" s="923"/>
      <c r="F677" s="831">
        <v>1717324</v>
      </c>
      <c r="G677" s="831">
        <v>139240</v>
      </c>
      <c r="I677" s="1263"/>
    </row>
    <row r="678" spans="1:9">
      <c r="A678" s="853"/>
      <c r="B678" s="852"/>
      <c r="C678" s="819"/>
      <c r="D678" s="820"/>
      <c r="E678" s="923"/>
      <c r="F678" s="911"/>
      <c r="G678" s="911"/>
      <c r="I678" s="1263"/>
    </row>
    <row r="679" spans="1:9">
      <c r="A679" s="853"/>
      <c r="B679" s="939" t="s">
        <v>1047</v>
      </c>
      <c r="C679" s="819"/>
      <c r="D679" s="820"/>
      <c r="E679" s="923"/>
      <c r="F679" s="911"/>
      <c r="G679" s="911"/>
      <c r="I679" s="1263"/>
    </row>
    <row r="680" spans="1:9">
      <c r="A680" s="853"/>
      <c r="B680" s="852" t="s">
        <v>1026</v>
      </c>
      <c r="C680" s="819"/>
      <c r="D680" s="820"/>
      <c r="E680" s="923"/>
      <c r="F680" s="945">
        <v>6084086</v>
      </c>
      <c r="G680" s="911">
        <v>6773222</v>
      </c>
      <c r="I680" s="1263"/>
    </row>
    <row r="681" spans="1:9">
      <c r="A681" s="853"/>
      <c r="B681" s="852"/>
      <c r="C681" s="819"/>
      <c r="D681" s="820"/>
      <c r="E681" s="923"/>
      <c r="F681" s="911"/>
      <c r="G681" s="911"/>
      <c r="I681" s="1263"/>
    </row>
    <row r="682" spans="1:9">
      <c r="A682" s="853"/>
      <c r="B682" s="939" t="s">
        <v>1048</v>
      </c>
      <c r="C682" s="819"/>
      <c r="D682" s="820"/>
      <c r="E682" s="923"/>
      <c r="F682" s="911"/>
      <c r="G682" s="911"/>
      <c r="I682" s="1263"/>
    </row>
    <row r="683" spans="1:9">
      <c r="A683" s="853"/>
      <c r="B683" s="852" t="s">
        <v>1022</v>
      </c>
      <c r="C683" s="819"/>
      <c r="D683" s="820"/>
      <c r="E683" s="923"/>
      <c r="F683" s="911">
        <v>207437</v>
      </c>
      <c r="G683" s="911">
        <v>145055</v>
      </c>
      <c r="I683" s="1263"/>
    </row>
    <row r="684" spans="1:9">
      <c r="A684" s="853"/>
      <c r="B684" s="852" t="s">
        <v>1049</v>
      </c>
      <c r="C684" s="819"/>
      <c r="D684" s="820"/>
      <c r="E684" s="923"/>
      <c r="F684" s="911">
        <v>0</v>
      </c>
      <c r="G684" s="911">
        <v>295931</v>
      </c>
      <c r="I684" s="1263"/>
    </row>
    <row r="685" spans="1:9">
      <c r="A685" s="853"/>
      <c r="B685" s="852" t="s">
        <v>1023</v>
      </c>
      <c r="C685" s="819"/>
      <c r="D685" s="820"/>
      <c r="E685" s="923"/>
      <c r="F685" s="911">
        <v>664825</v>
      </c>
      <c r="G685" s="911">
        <v>811311</v>
      </c>
      <c r="I685" s="1263"/>
    </row>
    <row r="686" spans="1:9">
      <c r="A686" s="853"/>
      <c r="B686" s="852" t="s">
        <v>1050</v>
      </c>
      <c r="C686" s="819"/>
      <c r="D686" s="820"/>
      <c r="E686" s="923"/>
      <c r="F686" s="911">
        <v>0</v>
      </c>
      <c r="G686" s="911">
        <v>73907</v>
      </c>
      <c r="I686" s="1263"/>
    </row>
    <row r="687" spans="1:9">
      <c r="A687" s="853"/>
      <c r="B687" s="852" t="s">
        <v>1051</v>
      </c>
      <c r="C687" s="819"/>
      <c r="D687" s="820"/>
      <c r="E687" s="923"/>
      <c r="F687" s="911">
        <v>0</v>
      </c>
      <c r="G687" s="911">
        <v>58182</v>
      </c>
      <c r="I687" s="1263"/>
    </row>
    <row r="688" spans="1:9">
      <c r="A688" s="853"/>
      <c r="B688" s="896" t="s">
        <v>1034</v>
      </c>
      <c r="C688" s="819"/>
      <c r="D688" s="820"/>
      <c r="E688" s="923"/>
      <c r="F688" s="911">
        <v>0</v>
      </c>
      <c r="G688" s="911">
        <v>225350</v>
      </c>
      <c r="I688" s="1263"/>
    </row>
    <row r="689" spans="1:9">
      <c r="A689" s="853"/>
      <c r="B689" s="852" t="s">
        <v>1036</v>
      </c>
      <c r="C689" s="819"/>
      <c r="D689" s="820"/>
      <c r="E689" s="923"/>
      <c r="F689" s="911">
        <v>0</v>
      </c>
      <c r="G689" s="911">
        <v>29092</v>
      </c>
      <c r="I689" s="1263"/>
    </row>
    <row r="690" spans="1:9">
      <c r="A690" s="853"/>
      <c r="B690" s="852" t="s">
        <v>1030</v>
      </c>
      <c r="C690" s="819"/>
      <c r="D690" s="820"/>
      <c r="E690" s="923"/>
      <c r="F690" s="911">
        <v>155578</v>
      </c>
      <c r="G690" s="911">
        <v>181970</v>
      </c>
      <c r="I690" s="1263"/>
    </row>
    <row r="691" spans="1:9">
      <c r="A691" s="853"/>
      <c r="B691" s="852" t="s">
        <v>1733</v>
      </c>
      <c r="C691" s="819"/>
      <c r="D691" s="820"/>
      <c r="E691" s="923"/>
      <c r="F691" s="911">
        <v>103720</v>
      </c>
      <c r="G691" s="911">
        <v>141434</v>
      </c>
      <c r="I691" s="1263"/>
    </row>
    <row r="692" spans="1:9">
      <c r="A692" s="853"/>
      <c r="B692" s="852" t="s">
        <v>1052</v>
      </c>
      <c r="C692" s="819"/>
      <c r="D692" s="820"/>
      <c r="E692" s="923"/>
      <c r="F692" s="911">
        <v>0</v>
      </c>
      <c r="G692" s="831">
        <v>0</v>
      </c>
      <c r="I692" s="1263"/>
    </row>
    <row r="693" spans="1:9">
      <c r="A693" s="853"/>
      <c r="B693" s="852" t="s">
        <v>1031</v>
      </c>
      <c r="C693" s="819"/>
      <c r="D693" s="820"/>
      <c r="E693" s="923"/>
      <c r="F693" s="911">
        <v>82975</v>
      </c>
      <c r="G693" s="911">
        <v>93542</v>
      </c>
      <c r="I693" s="1263"/>
    </row>
    <row r="694" spans="1:9">
      <c r="A694" s="853"/>
      <c r="B694" s="852" t="s">
        <v>1734</v>
      </c>
      <c r="C694" s="819"/>
      <c r="D694" s="820"/>
      <c r="E694" s="923"/>
      <c r="F694" s="911">
        <v>311157</v>
      </c>
      <c r="G694" s="911">
        <v>363180</v>
      </c>
      <c r="I694" s="1263"/>
    </row>
    <row r="695" spans="1:9">
      <c r="A695" s="853"/>
      <c r="B695" s="852" t="s">
        <v>1037</v>
      </c>
      <c r="C695" s="819"/>
      <c r="D695" s="820"/>
      <c r="E695" s="923"/>
      <c r="F695" s="911">
        <v>103720</v>
      </c>
      <c r="G695" s="911">
        <v>125621</v>
      </c>
      <c r="I695" s="1263"/>
    </row>
    <row r="696" spans="1:9">
      <c r="A696" s="853"/>
      <c r="B696" s="852" t="s">
        <v>1054</v>
      </c>
      <c r="C696" s="819"/>
      <c r="D696" s="820"/>
      <c r="E696" s="923"/>
      <c r="F696" s="911">
        <v>82975</v>
      </c>
      <c r="G696" s="911">
        <v>98976</v>
      </c>
      <c r="I696" s="1263"/>
    </row>
    <row r="697" spans="1:9">
      <c r="A697" s="853"/>
      <c r="B697" s="852" t="s">
        <v>1055</v>
      </c>
      <c r="C697" s="819"/>
      <c r="D697" s="820"/>
      <c r="E697" s="923"/>
      <c r="F697" s="911">
        <v>0</v>
      </c>
      <c r="G697" s="911">
        <v>261562</v>
      </c>
      <c r="I697" s="1263"/>
    </row>
    <row r="698" spans="1:9">
      <c r="A698" s="853"/>
      <c r="B698" s="852" t="s">
        <v>1035</v>
      </c>
      <c r="C698" s="819"/>
      <c r="D698" s="820"/>
      <c r="E698" s="923"/>
      <c r="F698" s="911">
        <v>165950</v>
      </c>
      <c r="G698" s="911">
        <v>357943</v>
      </c>
      <c r="I698" s="1263"/>
    </row>
    <row r="699" spans="1:9">
      <c r="A699" s="853"/>
      <c r="B699" s="852" t="s">
        <v>1056</v>
      </c>
      <c r="C699" s="819"/>
      <c r="D699" s="820"/>
      <c r="E699" s="923"/>
      <c r="F699" s="911">
        <v>0</v>
      </c>
      <c r="G699" s="911">
        <v>73321</v>
      </c>
      <c r="I699" s="1263"/>
    </row>
    <row r="700" spans="1:9">
      <c r="A700" s="853"/>
      <c r="B700" s="852" t="s">
        <v>1057</v>
      </c>
      <c r="C700" s="819"/>
      <c r="D700" s="820"/>
      <c r="E700" s="923"/>
      <c r="F700" s="911">
        <v>0</v>
      </c>
      <c r="G700" s="911">
        <v>98045</v>
      </c>
      <c r="I700" s="1263"/>
    </row>
    <row r="701" spans="1:9">
      <c r="A701" s="853"/>
      <c r="B701" s="852"/>
      <c r="C701" s="819"/>
      <c r="D701" s="820"/>
      <c r="E701" s="923"/>
      <c r="F701" s="911"/>
      <c r="G701" s="911"/>
      <c r="I701" s="1263"/>
    </row>
    <row r="702" spans="1:9">
      <c r="A702" s="853"/>
      <c r="B702" s="939" t="s">
        <v>1058</v>
      </c>
      <c r="C702" s="819"/>
      <c r="D702" s="820"/>
      <c r="E702" s="923"/>
      <c r="F702" s="911"/>
      <c r="G702" s="911"/>
      <c r="I702" s="1263"/>
    </row>
    <row r="703" spans="1:9">
      <c r="A703" s="853"/>
      <c r="B703" s="852" t="s">
        <v>1021</v>
      </c>
      <c r="C703" s="819"/>
      <c r="D703" s="820"/>
      <c r="E703" s="923" t="s">
        <v>1735</v>
      </c>
      <c r="F703" s="911">
        <v>1780000</v>
      </c>
      <c r="G703" s="911">
        <v>1780000</v>
      </c>
      <c r="I703" s="1263"/>
    </row>
    <row r="704" spans="1:9">
      <c r="A704" s="853"/>
      <c r="B704" s="852" t="s">
        <v>1022</v>
      </c>
      <c r="C704" s="819"/>
      <c r="D704" s="820"/>
      <c r="E704" s="923" t="s">
        <v>1735</v>
      </c>
      <c r="F704" s="911">
        <v>1780000</v>
      </c>
      <c r="G704" s="911">
        <v>1780000</v>
      </c>
      <c r="I704" s="1263"/>
    </row>
    <row r="705" spans="1:19">
      <c r="A705" s="853"/>
      <c r="B705" s="852" t="s">
        <v>1023</v>
      </c>
      <c r="C705" s="819"/>
      <c r="D705" s="820"/>
      <c r="E705" s="923" t="s">
        <v>1735</v>
      </c>
      <c r="F705" s="911">
        <v>760000</v>
      </c>
      <c r="G705" s="911">
        <v>750000</v>
      </c>
      <c r="I705" s="1263"/>
    </row>
    <row r="706" spans="1:19">
      <c r="A706" s="855"/>
      <c r="B706" s="852" t="s">
        <v>1024</v>
      </c>
      <c r="C706" s="819"/>
      <c r="D706" s="820"/>
      <c r="E706" s="923" t="s">
        <v>1735</v>
      </c>
      <c r="F706" s="911">
        <v>760000</v>
      </c>
      <c r="G706" s="911">
        <v>523846</v>
      </c>
      <c r="I706" s="1263"/>
    </row>
    <row r="707" spans="1:19" s="858" customFormat="1" hidden="1">
      <c r="A707" s="818"/>
      <c r="B707" s="1504" t="s">
        <v>750</v>
      </c>
      <c r="C707" s="1505"/>
      <c r="D707" s="1505"/>
      <c r="E707" s="1505"/>
      <c r="F707" s="1505"/>
      <c r="G707" s="1506"/>
      <c r="H707" s="1266"/>
      <c r="I707" s="1286"/>
      <c r="J707" s="1278"/>
      <c r="K707" s="1278"/>
      <c r="L707" s="1278"/>
      <c r="M707" s="1278"/>
      <c r="N707" s="1278"/>
      <c r="O707" s="1278"/>
      <c r="P707" s="1278"/>
      <c r="Q707" s="1278"/>
      <c r="R707" s="1278"/>
      <c r="S707" s="1278"/>
    </row>
    <row r="708" spans="1:19" hidden="1">
      <c r="B708" s="1428" t="s">
        <v>1299</v>
      </c>
      <c r="C708" s="1429"/>
      <c r="D708" s="1429"/>
      <c r="E708" s="1429"/>
      <c r="F708" s="1429"/>
      <c r="G708" s="1430"/>
      <c r="I708" s="1286"/>
    </row>
    <row r="709" spans="1:19" hidden="1">
      <c r="B709" s="1126" t="s">
        <v>546</v>
      </c>
      <c r="C709" s="886"/>
      <c r="D709" s="887"/>
      <c r="E709" s="1344"/>
      <c r="F709" s="1115" t="s">
        <v>543</v>
      </c>
      <c r="G709" s="1115" t="s">
        <v>544</v>
      </c>
      <c r="I709" s="1263"/>
    </row>
    <row r="710" spans="1:19" hidden="1">
      <c r="B710" s="888"/>
      <c r="C710" s="889"/>
      <c r="D710" s="856"/>
      <c r="E710" s="1191"/>
      <c r="F710" s="825" t="s">
        <v>752</v>
      </c>
      <c r="G710" s="825" t="s">
        <v>752</v>
      </c>
      <c r="I710" s="1263"/>
    </row>
    <row r="711" spans="1:19" hidden="1">
      <c r="A711" s="853"/>
      <c r="B711" s="939" t="s">
        <v>1059</v>
      </c>
      <c r="C711" s="819"/>
      <c r="D711" s="820"/>
      <c r="E711" s="1345"/>
      <c r="F711" s="911"/>
      <c r="G711" s="911"/>
      <c r="I711" s="1263"/>
    </row>
    <row r="712" spans="1:19" hidden="1">
      <c r="A712" s="853"/>
      <c r="B712" s="852" t="s">
        <v>1021</v>
      </c>
      <c r="C712" s="819"/>
      <c r="D712" s="820"/>
      <c r="E712" s="923"/>
      <c r="F712" s="911">
        <v>21600</v>
      </c>
      <c r="G712" s="911">
        <v>21600</v>
      </c>
      <c r="I712" s="1263"/>
    </row>
    <row r="713" spans="1:19" hidden="1">
      <c r="A713" s="853"/>
      <c r="B713" s="852" t="s">
        <v>1022</v>
      </c>
      <c r="C713" s="819"/>
      <c r="D713" s="820"/>
      <c r="E713" s="923"/>
      <c r="F713" s="911">
        <v>21600</v>
      </c>
      <c r="G713" s="911">
        <v>21600</v>
      </c>
      <c r="I713" s="1263"/>
    </row>
    <row r="714" spans="1:19" hidden="1">
      <c r="A714" s="853"/>
      <c r="B714" s="852" t="s">
        <v>1023</v>
      </c>
      <c r="C714" s="819"/>
      <c r="D714" s="820"/>
      <c r="E714" s="923"/>
      <c r="F714" s="911">
        <v>21600</v>
      </c>
      <c r="G714" s="911">
        <v>21600</v>
      </c>
      <c r="I714" s="1263"/>
    </row>
    <row r="715" spans="1:19" hidden="1">
      <c r="A715" s="853"/>
      <c r="B715" s="852"/>
      <c r="C715" s="819"/>
      <c r="D715" s="820"/>
      <c r="E715" s="923"/>
      <c r="F715" s="911"/>
      <c r="G715" s="911"/>
      <c r="I715" s="1263"/>
    </row>
    <row r="716" spans="1:19">
      <c r="A716" s="853"/>
      <c r="B716" s="852"/>
      <c r="C716" s="819"/>
      <c r="D716" s="820"/>
      <c r="E716" s="923"/>
      <c r="F716" s="911"/>
      <c r="G716" s="911"/>
      <c r="I716" s="1263"/>
    </row>
    <row r="717" spans="1:19">
      <c r="A717" s="853"/>
      <c r="B717" s="1071" t="s">
        <v>1060</v>
      </c>
      <c r="C717" s="819"/>
      <c r="D717" s="820"/>
      <c r="E717" s="923"/>
      <c r="F717" s="831"/>
      <c r="G717" s="831"/>
      <c r="I717" s="1263"/>
    </row>
    <row r="718" spans="1:19">
      <c r="A718" s="853"/>
      <c r="B718" s="1072" t="s">
        <v>1061</v>
      </c>
      <c r="C718" s="819"/>
      <c r="D718" s="820"/>
      <c r="E718" s="923"/>
      <c r="F718" s="831">
        <v>1043247</v>
      </c>
      <c r="G718" s="831">
        <v>4966374</v>
      </c>
      <c r="I718" s="1263"/>
    </row>
    <row r="719" spans="1:19">
      <c r="A719" s="853"/>
      <c r="B719" s="1072"/>
      <c r="C719" s="819"/>
      <c r="D719" s="820"/>
      <c r="E719" s="923"/>
      <c r="F719" s="831"/>
      <c r="G719" s="831"/>
      <c r="I719" s="1263"/>
    </row>
    <row r="720" spans="1:19">
      <c r="A720" s="853"/>
      <c r="B720" s="1071" t="s">
        <v>1062</v>
      </c>
      <c r="C720" s="819"/>
      <c r="D720" s="820"/>
      <c r="E720" s="923"/>
      <c r="F720" s="831"/>
      <c r="G720" s="831"/>
      <c r="I720" s="1263"/>
    </row>
    <row r="721" spans="1:9">
      <c r="A721" s="853"/>
      <c r="B721" s="1072" t="s">
        <v>1027</v>
      </c>
      <c r="C721" s="819"/>
      <c r="D721" s="820"/>
      <c r="E721" s="923"/>
      <c r="F721" s="831">
        <v>632928</v>
      </c>
      <c r="G721" s="831">
        <v>2513388</v>
      </c>
      <c r="I721" s="1263"/>
    </row>
    <row r="722" spans="1:9">
      <c r="A722" s="853"/>
      <c r="B722" s="1072" t="s">
        <v>2017</v>
      </c>
      <c r="C722" s="819"/>
      <c r="D722" s="820"/>
      <c r="E722" s="923"/>
      <c r="F722" s="831">
        <v>341586</v>
      </c>
      <c r="G722" s="831">
        <v>0</v>
      </c>
      <c r="I722" s="1263"/>
    </row>
    <row r="723" spans="1:9">
      <c r="A723" s="853"/>
      <c r="B723" s="1072"/>
      <c r="C723" s="819"/>
      <c r="D723" s="820"/>
      <c r="E723" s="923"/>
      <c r="F723" s="831"/>
      <c r="G723" s="831"/>
      <c r="I723" s="1263"/>
    </row>
    <row r="724" spans="1:9">
      <c r="A724" s="853"/>
      <c r="B724" s="1071" t="s">
        <v>1063</v>
      </c>
      <c r="C724" s="819"/>
      <c r="D724" s="820"/>
      <c r="E724" s="923"/>
      <c r="F724" s="831"/>
      <c r="G724" s="831"/>
      <c r="I724" s="1263"/>
    </row>
    <row r="725" spans="1:9">
      <c r="A725" s="853"/>
      <c r="B725" s="1072" t="s">
        <v>1027</v>
      </c>
      <c r="C725" s="819"/>
      <c r="D725" s="820"/>
      <c r="E725" s="923"/>
      <c r="F725" s="831">
        <v>60241594</v>
      </c>
      <c r="G725" s="831">
        <v>65647642.640000001</v>
      </c>
      <c r="I725" s="1263"/>
    </row>
    <row r="726" spans="1:9">
      <c r="A726" s="853"/>
      <c r="B726" s="1073"/>
      <c r="C726" s="889"/>
      <c r="D726" s="856"/>
      <c r="E726" s="986"/>
      <c r="F726" s="974"/>
      <c r="G726" s="974"/>
      <c r="I726" s="1263"/>
    </row>
    <row r="727" spans="1:9">
      <c r="A727" s="853"/>
      <c r="B727" s="1156" t="s">
        <v>1064</v>
      </c>
      <c r="C727" s="1068"/>
      <c r="D727" s="1069"/>
      <c r="E727" s="1345"/>
      <c r="F727" s="1120"/>
      <c r="G727" s="1120"/>
      <c r="I727" s="1263"/>
    </row>
    <row r="728" spans="1:9">
      <c r="A728" s="853"/>
      <c r="B728" s="906" t="s">
        <v>1065</v>
      </c>
      <c r="C728" s="819"/>
      <c r="D728" s="820"/>
      <c r="E728" s="923"/>
      <c r="F728" s="911"/>
      <c r="G728" s="911"/>
      <c r="I728" s="1263"/>
    </row>
    <row r="729" spans="1:9">
      <c r="A729" s="853"/>
      <c r="B729" s="852" t="s">
        <v>1066</v>
      </c>
      <c r="C729" s="819"/>
      <c r="D729" s="820"/>
      <c r="E729" s="923"/>
      <c r="F729" s="911">
        <v>186694</v>
      </c>
      <c r="G729" s="911">
        <v>378209</v>
      </c>
      <c r="I729" s="1263"/>
    </row>
    <row r="730" spans="1:9">
      <c r="A730" s="853"/>
      <c r="B730" s="852" t="s">
        <v>1049</v>
      </c>
      <c r="C730" s="819"/>
      <c r="D730" s="820"/>
      <c r="E730" s="923"/>
      <c r="F730" s="911">
        <v>0</v>
      </c>
      <c r="G730" s="911">
        <v>266338</v>
      </c>
      <c r="I730" s="1263"/>
    </row>
    <row r="731" spans="1:9">
      <c r="A731" s="853"/>
      <c r="B731" s="852" t="s">
        <v>1031</v>
      </c>
      <c r="C731" s="819"/>
      <c r="D731" s="820"/>
      <c r="E731" s="923"/>
      <c r="F731" s="911">
        <v>74676</v>
      </c>
      <c r="G731" s="911">
        <v>84188</v>
      </c>
      <c r="I731" s="1263"/>
    </row>
    <row r="732" spans="1:9">
      <c r="A732" s="853"/>
      <c r="B732" s="852" t="s">
        <v>1037</v>
      </c>
      <c r="C732" s="819"/>
      <c r="D732" s="820"/>
      <c r="E732" s="923"/>
      <c r="F732" s="911">
        <v>93348</v>
      </c>
      <c r="G732" s="911">
        <v>113058</v>
      </c>
      <c r="I732" s="1263"/>
    </row>
    <row r="733" spans="1:9">
      <c r="A733" s="853"/>
      <c r="B733" s="852" t="s">
        <v>1033</v>
      </c>
      <c r="C733" s="819"/>
      <c r="D733" s="820"/>
      <c r="E733" s="923"/>
      <c r="F733" s="911">
        <v>0</v>
      </c>
      <c r="G733" s="911">
        <v>52364</v>
      </c>
      <c r="I733" s="1263"/>
    </row>
    <row r="734" spans="1:9">
      <c r="A734" s="853"/>
      <c r="B734" s="852" t="s">
        <v>1067</v>
      </c>
      <c r="C734" s="819"/>
      <c r="D734" s="820"/>
      <c r="E734" s="923"/>
      <c r="F734" s="911">
        <v>0</v>
      </c>
      <c r="G734" s="911">
        <v>202815</v>
      </c>
      <c r="I734" s="1263"/>
    </row>
    <row r="735" spans="1:9">
      <c r="A735" s="853"/>
      <c r="B735" s="852" t="s">
        <v>1036</v>
      </c>
      <c r="C735" s="819"/>
      <c r="D735" s="820"/>
      <c r="E735" s="923"/>
      <c r="F735" s="911">
        <v>0</v>
      </c>
      <c r="G735" s="911">
        <v>26183</v>
      </c>
      <c r="I735" s="1263"/>
    </row>
    <row r="736" spans="1:9">
      <c r="A736" s="853"/>
      <c r="B736" s="852" t="s">
        <v>1030</v>
      </c>
      <c r="C736" s="819"/>
      <c r="D736" s="820"/>
      <c r="E736" s="923"/>
      <c r="F736" s="911">
        <v>140020</v>
      </c>
      <c r="G736" s="911">
        <v>163773</v>
      </c>
      <c r="I736" s="1263"/>
    </row>
    <row r="737" spans="1:9">
      <c r="A737" s="853"/>
      <c r="B737" s="852" t="s">
        <v>1068</v>
      </c>
      <c r="C737" s="819"/>
      <c r="D737" s="820"/>
      <c r="E737" s="923"/>
      <c r="F737" s="911">
        <v>0</v>
      </c>
      <c r="G737" s="911">
        <v>65989</v>
      </c>
      <c r="I737" s="1263"/>
    </row>
    <row r="738" spans="1:9">
      <c r="A738" s="853"/>
      <c r="B738" s="852" t="s">
        <v>1069</v>
      </c>
      <c r="C738" s="819"/>
      <c r="D738" s="820"/>
      <c r="E738" s="923"/>
      <c r="F738" s="911">
        <v>74676</v>
      </c>
      <c r="G738" s="911">
        <v>89078</v>
      </c>
      <c r="I738" s="1263"/>
    </row>
    <row r="739" spans="1:9">
      <c r="A739" s="853"/>
      <c r="B739" s="852" t="s">
        <v>668</v>
      </c>
      <c r="C739" s="819"/>
      <c r="D739" s="820"/>
      <c r="E739" s="923"/>
      <c r="F739" s="911">
        <v>0</v>
      </c>
      <c r="G739" s="911">
        <v>235046</v>
      </c>
      <c r="I739" s="1263"/>
    </row>
    <row r="740" spans="1:9">
      <c r="A740" s="853"/>
      <c r="B740" s="852" t="s">
        <v>1053</v>
      </c>
      <c r="C740" s="819"/>
      <c r="D740" s="820"/>
      <c r="E740" s="923"/>
      <c r="F740" s="911">
        <v>280041</v>
      </c>
      <c r="G740" s="911">
        <v>326861</v>
      </c>
      <c r="I740" s="1263"/>
    </row>
    <row r="741" spans="1:9">
      <c r="A741" s="853"/>
      <c r="B741" s="852" t="s">
        <v>1070</v>
      </c>
      <c r="C741" s="819"/>
      <c r="D741" s="820"/>
      <c r="E741" s="923"/>
      <c r="F741" s="911">
        <v>93348</v>
      </c>
      <c r="G741" s="911">
        <v>127291</v>
      </c>
      <c r="I741" s="1263"/>
    </row>
    <row r="742" spans="1:9">
      <c r="A742" s="853"/>
      <c r="B742" s="852" t="s">
        <v>1035</v>
      </c>
      <c r="C742" s="819"/>
      <c r="D742" s="820"/>
      <c r="E742" s="923"/>
      <c r="F742" s="911">
        <v>149356</v>
      </c>
      <c r="G742" s="911">
        <v>322149</v>
      </c>
      <c r="I742" s="1263"/>
    </row>
    <row r="743" spans="1:9">
      <c r="A743" s="853"/>
      <c r="B743" s="852" t="s">
        <v>1071</v>
      </c>
      <c r="C743" s="819"/>
      <c r="D743" s="820"/>
      <c r="E743" s="923"/>
      <c r="F743" s="911">
        <v>598343</v>
      </c>
      <c r="G743" s="911">
        <v>730180</v>
      </c>
      <c r="I743" s="1263"/>
    </row>
    <row r="744" spans="1:9">
      <c r="A744" s="853"/>
      <c r="B744" s="852" t="s">
        <v>1072</v>
      </c>
      <c r="C744" s="819"/>
      <c r="D744" s="820"/>
      <c r="E744" s="923"/>
      <c r="F744" s="911">
        <v>0</v>
      </c>
      <c r="G744" s="911">
        <v>66516</v>
      </c>
      <c r="I744" s="1263"/>
    </row>
    <row r="745" spans="1:9">
      <c r="A745" s="853"/>
      <c r="B745" s="852" t="s">
        <v>1073</v>
      </c>
      <c r="C745" s="819"/>
      <c r="D745" s="820"/>
      <c r="E745" s="923"/>
      <c r="F745" s="911">
        <v>0</v>
      </c>
      <c r="G745" s="911">
        <v>88240</v>
      </c>
      <c r="I745" s="1263"/>
    </row>
    <row r="746" spans="1:9">
      <c r="A746" s="853"/>
      <c r="B746" s="852"/>
      <c r="C746" s="819"/>
      <c r="D746" s="820"/>
      <c r="E746" s="923"/>
      <c r="F746" s="911" t="s">
        <v>749</v>
      </c>
      <c r="G746" s="911" t="s">
        <v>749</v>
      </c>
      <c r="I746" s="1263"/>
    </row>
    <row r="747" spans="1:9">
      <c r="A747" s="853"/>
      <c r="B747" s="899" t="s">
        <v>1074</v>
      </c>
      <c r="C747" s="819"/>
      <c r="D747" s="820"/>
      <c r="E747" s="923"/>
      <c r="F747" s="911" t="s">
        <v>749</v>
      </c>
      <c r="G747" s="911" t="s">
        <v>749</v>
      </c>
      <c r="I747" s="1263"/>
    </row>
    <row r="748" spans="1:9">
      <c r="A748" s="853"/>
      <c r="B748" s="852" t="s">
        <v>1066</v>
      </c>
      <c r="C748" s="894"/>
      <c r="D748" s="820"/>
      <c r="E748" s="923"/>
      <c r="F748" s="911">
        <v>0</v>
      </c>
      <c r="G748" s="911">
        <v>1907076</v>
      </c>
      <c r="I748" s="1263"/>
    </row>
    <row r="749" spans="1:9">
      <c r="A749" s="853"/>
      <c r="B749" s="852" t="s">
        <v>1049</v>
      </c>
      <c r="C749" s="894"/>
      <c r="D749" s="820"/>
      <c r="E749" s="923"/>
      <c r="F749" s="911">
        <v>0</v>
      </c>
      <c r="G749" s="911">
        <v>4565870</v>
      </c>
      <c r="I749" s="1263"/>
    </row>
    <row r="750" spans="1:9">
      <c r="A750" s="853"/>
      <c r="B750" s="852" t="s">
        <v>33</v>
      </c>
      <c r="C750" s="894"/>
      <c r="D750" s="820"/>
      <c r="E750" s="923"/>
      <c r="F750" s="911">
        <v>0</v>
      </c>
      <c r="G750" s="911">
        <v>38017</v>
      </c>
      <c r="I750" s="1263"/>
    </row>
    <row r="751" spans="1:9">
      <c r="A751" s="853"/>
      <c r="B751" s="852" t="s">
        <v>1037</v>
      </c>
      <c r="C751" s="894"/>
      <c r="D751" s="820"/>
      <c r="E751" s="923"/>
      <c r="F751" s="911">
        <v>0</v>
      </c>
      <c r="G751" s="911">
        <v>125408</v>
      </c>
      <c r="I751" s="1263"/>
    </row>
    <row r="752" spans="1:9">
      <c r="A752" s="853"/>
      <c r="B752" s="852" t="s">
        <v>1033</v>
      </c>
      <c r="C752" s="819"/>
      <c r="D752" s="820"/>
      <c r="E752" s="923"/>
      <c r="F752" s="911">
        <v>0</v>
      </c>
      <c r="G752" s="911">
        <v>684456</v>
      </c>
      <c r="I752" s="1263"/>
    </row>
    <row r="753" spans="1:19">
      <c r="A753" s="853"/>
      <c r="B753" s="852" t="s">
        <v>1067</v>
      </c>
      <c r="C753" s="819"/>
      <c r="D753" s="820"/>
      <c r="E753" s="923"/>
      <c r="F753" s="911">
        <v>0</v>
      </c>
      <c r="G753" s="911">
        <v>2650970</v>
      </c>
      <c r="I753" s="1263"/>
    </row>
    <row r="754" spans="1:19">
      <c r="A754" s="853"/>
      <c r="B754" s="852" t="s">
        <v>1036</v>
      </c>
      <c r="C754" s="819"/>
      <c r="D754" s="820"/>
      <c r="E754" s="923"/>
      <c r="F754" s="911">
        <v>0</v>
      </c>
      <c r="G754" s="911">
        <v>342231</v>
      </c>
      <c r="I754" s="1263"/>
    </row>
    <row r="755" spans="1:19">
      <c r="A755" s="853"/>
      <c r="B755" s="852" t="s">
        <v>1030</v>
      </c>
      <c r="C755" s="819"/>
      <c r="D755" s="820"/>
      <c r="E755" s="923"/>
      <c r="F755" s="911">
        <v>0</v>
      </c>
      <c r="G755" s="911">
        <v>130215</v>
      </c>
      <c r="I755" s="1263"/>
    </row>
    <row r="756" spans="1:19">
      <c r="A756" s="853"/>
      <c r="B756" s="852" t="s">
        <v>1068</v>
      </c>
      <c r="C756" s="819"/>
      <c r="D756" s="820"/>
      <c r="E756" s="923"/>
      <c r="F756" s="911">
        <v>0</v>
      </c>
      <c r="G756" s="911">
        <v>1571315</v>
      </c>
      <c r="I756" s="1263"/>
    </row>
    <row r="757" spans="1:19">
      <c r="A757" s="853"/>
      <c r="B757" s="852" t="s">
        <v>1069</v>
      </c>
      <c r="C757" s="819"/>
      <c r="D757" s="820"/>
      <c r="E757" s="923"/>
      <c r="F757" s="911">
        <v>0</v>
      </c>
      <c r="G757" s="911">
        <v>86698</v>
      </c>
      <c r="I757" s="1263"/>
    </row>
    <row r="758" spans="1:19">
      <c r="A758" s="853"/>
      <c r="B758" s="852" t="s">
        <v>668</v>
      </c>
      <c r="C758" s="819"/>
      <c r="D758" s="820"/>
      <c r="E758" s="923"/>
      <c r="F758" s="911">
        <v>0</v>
      </c>
      <c r="G758" s="911">
        <v>5838121</v>
      </c>
      <c r="I758" s="1263"/>
    </row>
    <row r="759" spans="1:19">
      <c r="A759" s="853"/>
      <c r="B759" s="852" t="s">
        <v>1053</v>
      </c>
      <c r="C759" s="819"/>
      <c r="D759" s="820"/>
      <c r="E759" s="923"/>
      <c r="F759" s="911">
        <v>0</v>
      </c>
      <c r="G759" s="911">
        <v>253632</v>
      </c>
      <c r="I759" s="1263"/>
    </row>
    <row r="760" spans="1:19">
      <c r="A760" s="853"/>
      <c r="B760" s="852" t="s">
        <v>1070</v>
      </c>
      <c r="C760" s="819"/>
      <c r="D760" s="820"/>
      <c r="E760" s="923"/>
      <c r="F760" s="911">
        <v>0</v>
      </c>
      <c r="G760" s="911">
        <v>267061</v>
      </c>
      <c r="I760" s="1263"/>
    </row>
    <row r="761" spans="1:19">
      <c r="A761" s="853"/>
      <c r="B761" s="852" t="s">
        <v>1035</v>
      </c>
      <c r="C761" s="819"/>
      <c r="D761" s="820"/>
      <c r="E761" s="923"/>
      <c r="F761" s="911">
        <v>0</v>
      </c>
      <c r="G761" s="911">
        <v>2223859</v>
      </c>
      <c r="I761" s="1263"/>
    </row>
    <row r="762" spans="1:19">
      <c r="A762" s="853"/>
      <c r="B762" s="852" t="s">
        <v>1071</v>
      </c>
      <c r="C762" s="819"/>
      <c r="D762" s="820"/>
      <c r="E762" s="923"/>
      <c r="F762" s="911">
        <v>600000</v>
      </c>
      <c r="G762" s="911">
        <v>903074</v>
      </c>
      <c r="I762" s="1263"/>
    </row>
    <row r="763" spans="1:19">
      <c r="A763" s="853"/>
      <c r="B763" s="852" t="s">
        <v>1072</v>
      </c>
      <c r="C763" s="819"/>
      <c r="D763" s="820"/>
      <c r="E763" s="923"/>
      <c r="F763" s="911">
        <v>0</v>
      </c>
      <c r="G763" s="911">
        <v>1197238</v>
      </c>
      <c r="I763" s="1263"/>
    </row>
    <row r="764" spans="1:19">
      <c r="A764" s="853"/>
      <c r="B764" s="852" t="s">
        <v>1073</v>
      </c>
      <c r="C764" s="819"/>
      <c r="D764" s="820"/>
      <c r="E764" s="923"/>
      <c r="F764" s="911">
        <v>0</v>
      </c>
      <c r="G764" s="911">
        <v>1588240</v>
      </c>
      <c r="I764" s="1263"/>
    </row>
    <row r="765" spans="1:19">
      <c r="A765" s="855"/>
      <c r="B765" s="888"/>
      <c r="C765" s="915"/>
      <c r="D765" s="856"/>
      <c r="E765" s="986"/>
      <c r="F765" s="910"/>
      <c r="G765" s="910"/>
      <c r="I765" s="1263"/>
    </row>
    <row r="766" spans="1:19" s="858" customFormat="1">
      <c r="A766" s="818"/>
      <c r="B766" s="1439" t="s">
        <v>750</v>
      </c>
      <c r="C766" s="1440"/>
      <c r="D766" s="1440"/>
      <c r="E766" s="1440"/>
      <c r="F766" s="1440"/>
      <c r="G766" s="1441"/>
      <c r="H766" s="1266"/>
      <c r="I766" s="1286"/>
      <c r="J766" s="1278"/>
      <c r="K766" s="1278"/>
      <c r="L766" s="1278"/>
      <c r="M766" s="1278"/>
      <c r="N766" s="1278"/>
      <c r="O766" s="1278"/>
      <c r="P766" s="1278"/>
      <c r="Q766" s="1278"/>
      <c r="R766" s="1278"/>
      <c r="S766" s="1278"/>
    </row>
    <row r="767" spans="1:19">
      <c r="B767" s="1439" t="s">
        <v>1299</v>
      </c>
      <c r="C767" s="1440"/>
      <c r="D767" s="1440"/>
      <c r="E767" s="1440"/>
      <c r="F767" s="1440"/>
      <c r="G767" s="1441"/>
      <c r="I767" s="1286"/>
    </row>
    <row r="768" spans="1:19">
      <c r="B768" s="1126" t="s">
        <v>546</v>
      </c>
      <c r="C768" s="886"/>
      <c r="D768" s="887"/>
      <c r="E768" s="1139"/>
      <c r="F768" s="1115" t="s">
        <v>2008</v>
      </c>
      <c r="G768" s="1115" t="s">
        <v>2008</v>
      </c>
      <c r="I768" s="1263"/>
    </row>
    <row r="769" spans="2:9">
      <c r="B769" s="888"/>
      <c r="C769" s="889"/>
      <c r="D769" s="856"/>
      <c r="E769" s="986"/>
      <c r="F769" s="825" t="s">
        <v>2004</v>
      </c>
      <c r="G769" s="825" t="s">
        <v>2005</v>
      </c>
      <c r="I769" s="1263"/>
    </row>
    <row r="770" spans="2:9">
      <c r="B770" s="1074" t="s">
        <v>1075</v>
      </c>
      <c r="C770" s="864" t="s">
        <v>1076</v>
      </c>
      <c r="D770" s="864"/>
      <c r="E770" s="1075"/>
      <c r="F770" s="911"/>
      <c r="G770" s="911"/>
      <c r="I770" s="1263"/>
    </row>
    <row r="771" spans="2:9">
      <c r="B771" s="852"/>
      <c r="C771" s="1076" t="s">
        <v>1300</v>
      </c>
      <c r="D771" s="1076" t="s">
        <v>890</v>
      </c>
      <c r="E771" s="1256"/>
      <c r="F771" s="911"/>
      <c r="G771" s="911"/>
      <c r="I771" s="1263"/>
    </row>
    <row r="772" spans="2:9">
      <c r="B772" s="939" t="s">
        <v>1077</v>
      </c>
      <c r="C772" s="1077"/>
      <c r="D772" s="1077"/>
      <c r="E772" s="1257"/>
      <c r="F772" s="911"/>
      <c r="G772" s="911"/>
      <c r="I772" s="1263"/>
    </row>
    <row r="773" spans="2:9">
      <c r="B773" s="852" t="s">
        <v>1066</v>
      </c>
      <c r="C773" s="946">
        <v>2186694</v>
      </c>
      <c r="D773" s="821">
        <v>3528867</v>
      </c>
      <c r="E773" s="973"/>
      <c r="F773" s="831">
        <v>2186694</v>
      </c>
      <c r="G773" s="831">
        <v>2000000</v>
      </c>
      <c r="I773" s="1263"/>
    </row>
    <row r="774" spans="2:9">
      <c r="B774" s="896" t="s">
        <v>1078</v>
      </c>
      <c r="C774" s="946">
        <v>0</v>
      </c>
      <c r="D774" s="821">
        <v>2448155</v>
      </c>
      <c r="E774" s="973"/>
      <c r="F774" s="869">
        <v>0</v>
      </c>
      <c r="G774" s="831">
        <v>0</v>
      </c>
      <c r="I774" s="1263"/>
    </row>
    <row r="775" spans="2:9">
      <c r="B775" s="852" t="s">
        <v>1030</v>
      </c>
      <c r="C775" s="946">
        <v>1640020</v>
      </c>
      <c r="D775" s="821">
        <v>1500000</v>
      </c>
      <c r="E775" s="973"/>
      <c r="F775" s="869">
        <v>1640020</v>
      </c>
      <c r="G775" s="831">
        <v>1500000</v>
      </c>
      <c r="I775" s="1263"/>
    </row>
    <row r="776" spans="2:9">
      <c r="B776" s="852" t="s">
        <v>1079</v>
      </c>
      <c r="C776" s="946">
        <v>1093348</v>
      </c>
      <c r="D776" s="821">
        <v>1139770</v>
      </c>
      <c r="E776" s="973"/>
      <c r="F776" s="869">
        <v>1093348</v>
      </c>
      <c r="G776" s="831">
        <v>1000000</v>
      </c>
      <c r="I776" s="1263"/>
    </row>
    <row r="777" spans="2:9">
      <c r="B777" s="852" t="s">
        <v>1031</v>
      </c>
      <c r="C777" s="946">
        <v>874676</v>
      </c>
      <c r="D777" s="821">
        <v>753829</v>
      </c>
      <c r="E777" s="973"/>
      <c r="F777" s="869">
        <v>874676</v>
      </c>
      <c r="G777" s="831">
        <v>800000</v>
      </c>
      <c r="I777" s="1263"/>
    </row>
    <row r="778" spans="2:9">
      <c r="B778" s="852" t="s">
        <v>1053</v>
      </c>
      <c r="C778" s="946">
        <v>3280041</v>
      </c>
      <c r="D778" s="821">
        <v>2926771</v>
      </c>
      <c r="E778" s="973"/>
      <c r="F778" s="869">
        <v>3280041</v>
      </c>
      <c r="G778" s="831">
        <v>3000000</v>
      </c>
      <c r="I778" s="1263"/>
    </row>
    <row r="779" spans="2:9">
      <c r="B779" s="852" t="s">
        <v>1023</v>
      </c>
      <c r="C779" s="946">
        <v>7000494</v>
      </c>
      <c r="D779" s="821">
        <v>6672894</v>
      </c>
      <c r="E779" s="973"/>
      <c r="F779" s="869">
        <v>6498343</v>
      </c>
      <c r="G779" s="831">
        <v>6500000</v>
      </c>
      <c r="I779" s="1263"/>
    </row>
    <row r="780" spans="2:9">
      <c r="B780" s="852" t="s">
        <v>1037</v>
      </c>
      <c r="C780" s="946">
        <v>1093348</v>
      </c>
      <c r="D780" s="821">
        <v>1012350</v>
      </c>
      <c r="E780" s="973"/>
      <c r="F780" s="869">
        <v>1093348</v>
      </c>
      <c r="G780" s="831">
        <v>1000000</v>
      </c>
      <c r="I780" s="1263"/>
    </row>
    <row r="781" spans="2:9">
      <c r="B781" s="852" t="s">
        <v>1069</v>
      </c>
      <c r="C781" s="946">
        <v>874676</v>
      </c>
      <c r="D781" s="821">
        <v>797620</v>
      </c>
      <c r="E781" s="973"/>
      <c r="F781" s="869">
        <v>874676</v>
      </c>
      <c r="G781" s="831">
        <v>800000</v>
      </c>
      <c r="I781" s="1263"/>
    </row>
    <row r="782" spans="2:9">
      <c r="B782" s="852" t="s">
        <v>1035</v>
      </c>
      <c r="C782" s="946">
        <v>1749357</v>
      </c>
      <c r="D782" s="821">
        <v>3501711</v>
      </c>
      <c r="E782" s="973"/>
      <c r="F782" s="869">
        <v>1749357</v>
      </c>
      <c r="G782" s="831">
        <v>1600001</v>
      </c>
      <c r="I782" s="1263"/>
    </row>
    <row r="783" spans="2:9">
      <c r="B783" s="852"/>
      <c r="C783" s="821"/>
      <c r="D783" s="1078"/>
      <c r="E783" s="1258"/>
      <c r="F783" s="869"/>
      <c r="G783" s="831"/>
      <c r="I783" s="1263"/>
    </row>
    <row r="784" spans="2:9">
      <c r="B784" s="939" t="s">
        <v>1080</v>
      </c>
      <c r="C784" s="821"/>
      <c r="D784" s="1078"/>
      <c r="E784" s="1258"/>
      <c r="F784" s="869"/>
      <c r="G784" s="831"/>
      <c r="I784" s="1263"/>
    </row>
    <row r="785" spans="2:9">
      <c r="B785" s="1072" t="s">
        <v>1081</v>
      </c>
      <c r="C785" s="821"/>
      <c r="D785" s="1078"/>
      <c r="E785" s="1258"/>
      <c r="F785" s="869">
        <v>173652</v>
      </c>
      <c r="G785" s="831">
        <v>419887</v>
      </c>
      <c r="I785" s="1263"/>
    </row>
    <row r="786" spans="2:9">
      <c r="B786" s="1072" t="s">
        <v>1027</v>
      </c>
      <c r="C786" s="918"/>
      <c r="D786" s="894"/>
      <c r="E786" s="1259"/>
      <c r="F786" s="901">
        <v>0</v>
      </c>
      <c r="G786" s="911">
        <v>723744</v>
      </c>
      <c r="I786" s="1263"/>
    </row>
    <row r="787" spans="2:9">
      <c r="B787" s="1072" t="s">
        <v>1776</v>
      </c>
      <c r="C787" s="918"/>
      <c r="D787" s="894"/>
      <c r="E787" s="1259"/>
      <c r="F787" s="901">
        <v>879467</v>
      </c>
      <c r="G787" s="911">
        <v>658176</v>
      </c>
      <c r="I787" s="1263"/>
    </row>
    <row r="788" spans="2:9">
      <c r="B788" s="1071" t="s">
        <v>563</v>
      </c>
      <c r="C788" s="918"/>
      <c r="D788" s="894"/>
      <c r="E788" s="1259"/>
      <c r="F788" s="901"/>
      <c r="G788" s="911"/>
      <c r="I788" s="1263"/>
    </row>
    <row r="789" spans="2:9">
      <c r="B789" s="1072" t="s">
        <v>1027</v>
      </c>
      <c r="C789" s="821"/>
      <c r="D789" s="1078"/>
      <c r="E789" s="1258"/>
      <c r="F789" s="869">
        <v>4304700</v>
      </c>
      <c r="G789" s="831">
        <v>4974122</v>
      </c>
      <c r="I789" s="1263"/>
    </row>
    <row r="790" spans="2:9">
      <c r="B790" s="1072" t="s">
        <v>1081</v>
      </c>
      <c r="C790" s="821"/>
      <c r="D790" s="1078"/>
      <c r="E790" s="1258"/>
      <c r="F790" s="869">
        <v>2655823</v>
      </c>
      <c r="G790" s="831">
        <v>1406</v>
      </c>
      <c r="I790" s="1263"/>
    </row>
    <row r="791" spans="2:9">
      <c r="B791" s="888"/>
      <c r="C791" s="1079"/>
      <c r="D791" s="856"/>
      <c r="E791" s="986"/>
      <c r="F791" s="905"/>
      <c r="G791" s="910"/>
      <c r="I791" s="1263"/>
    </row>
    <row r="792" spans="2:9">
      <c r="B792" s="1157"/>
      <c r="C792" s="1068"/>
      <c r="D792" s="1158"/>
      <c r="E792" s="1260"/>
      <c r="F792" s="1159"/>
      <c r="G792" s="1160"/>
      <c r="I792" s="1263"/>
    </row>
    <row r="793" spans="2:9">
      <c r="B793" s="921" t="s">
        <v>2040</v>
      </c>
      <c r="C793" s="922"/>
      <c r="D793" s="948"/>
      <c r="E793" s="954"/>
      <c r="F793" s="1080"/>
      <c r="G793" s="1080"/>
      <c r="I793" s="1263"/>
    </row>
    <row r="794" spans="2:9">
      <c r="B794" s="852"/>
      <c r="C794" s="819"/>
      <c r="D794" s="948"/>
      <c r="E794" s="954"/>
      <c r="F794" s="860"/>
      <c r="G794" s="860"/>
      <c r="I794" s="1263"/>
    </row>
    <row r="795" spans="2:9">
      <c r="B795" s="924" t="s">
        <v>1082</v>
      </c>
      <c r="C795" s="894"/>
      <c r="D795" s="948"/>
      <c r="E795" s="954"/>
      <c r="F795" s="911"/>
      <c r="G795" s="911"/>
      <c r="I795" s="1263"/>
    </row>
    <row r="796" spans="2:9">
      <c r="B796" s="896" t="s">
        <v>1083</v>
      </c>
      <c r="C796" s="894"/>
      <c r="D796" s="948"/>
      <c r="E796" s="1066"/>
      <c r="F796" s="911">
        <v>5000000</v>
      </c>
      <c r="G796" s="911">
        <v>5000000</v>
      </c>
      <c r="I796" s="1263"/>
    </row>
    <row r="797" spans="2:9">
      <c r="B797" s="896" t="s">
        <v>1084</v>
      </c>
      <c r="C797" s="819"/>
      <c r="D797" s="948"/>
      <c r="E797" s="1066"/>
      <c r="F797" s="831">
        <v>350000</v>
      </c>
      <c r="G797" s="831">
        <v>350000</v>
      </c>
      <c r="I797" s="1263"/>
    </row>
    <row r="798" spans="2:9">
      <c r="B798" s="896" t="s">
        <v>1085</v>
      </c>
      <c r="C798" s="819"/>
      <c r="D798" s="948"/>
      <c r="E798" s="1066"/>
      <c r="F798" s="831">
        <v>500000</v>
      </c>
      <c r="G798" s="831">
        <v>500000</v>
      </c>
      <c r="I798" s="1263"/>
    </row>
    <row r="799" spans="2:9">
      <c r="B799" s="896"/>
      <c r="C799" s="819"/>
      <c r="D799" s="948"/>
      <c r="E799" s="1066"/>
      <c r="F799" s="869"/>
      <c r="G799" s="831"/>
      <c r="I799" s="1263"/>
    </row>
    <row r="800" spans="2:9">
      <c r="B800" s="906" t="s">
        <v>2066</v>
      </c>
      <c r="C800" s="819"/>
      <c r="D800" s="948"/>
      <c r="E800" s="954"/>
      <c r="F800" s="869">
        <v>10963</v>
      </c>
      <c r="G800" s="831">
        <v>0</v>
      </c>
      <c r="I800" s="1263"/>
    </row>
    <row r="801" spans="2:9">
      <c r="B801" s="853" t="s">
        <v>749</v>
      </c>
      <c r="C801" s="894"/>
      <c r="D801" s="948"/>
      <c r="E801" s="954"/>
      <c r="F801" s="869" t="s">
        <v>749</v>
      </c>
      <c r="G801" s="831" t="s">
        <v>749</v>
      </c>
      <c r="I801" s="1263"/>
    </row>
    <row r="802" spans="2:9">
      <c r="B802" s="906" t="s">
        <v>1086</v>
      </c>
      <c r="C802" s="894"/>
      <c r="D802" s="948"/>
      <c r="E802" s="954"/>
      <c r="F802" s="869"/>
      <c r="G802" s="831"/>
      <c r="I802" s="1263"/>
    </row>
    <row r="803" spans="2:9">
      <c r="B803" s="896" t="s">
        <v>1087</v>
      </c>
      <c r="C803" s="894"/>
      <c r="D803" s="948"/>
      <c r="E803" s="954"/>
      <c r="F803" s="869">
        <v>17225881</v>
      </c>
      <c r="G803" s="831">
        <v>17225881</v>
      </c>
      <c r="I803" s="1263"/>
    </row>
    <row r="804" spans="2:9">
      <c r="B804" s="896" t="s">
        <v>1088</v>
      </c>
      <c r="C804" s="894"/>
      <c r="D804" s="948"/>
      <c r="E804" s="954"/>
      <c r="F804" s="869">
        <v>10080910</v>
      </c>
      <c r="G804" s="831">
        <v>10080910</v>
      </c>
      <c r="I804" s="1263"/>
    </row>
    <row r="805" spans="2:9" ht="134.25" customHeight="1">
      <c r="B805" s="1422" t="s">
        <v>1089</v>
      </c>
      <c r="C805" s="1423"/>
      <c r="D805" s="1423"/>
      <c r="E805" s="1261"/>
      <c r="F805" s="869"/>
      <c r="G805" s="831"/>
      <c r="I805" s="1263"/>
    </row>
    <row r="806" spans="2:9" ht="15.75" customHeight="1">
      <c r="B806" s="832"/>
      <c r="C806" s="1033"/>
      <c r="D806" s="1033"/>
      <c r="E806" s="1261"/>
      <c r="F806" s="869"/>
      <c r="G806" s="831"/>
      <c r="I806" s="1263"/>
    </row>
    <row r="807" spans="2:9">
      <c r="B807" s="906" t="s">
        <v>1090</v>
      </c>
      <c r="C807" s="1064"/>
      <c r="D807" s="1064"/>
      <c r="E807" s="1261"/>
      <c r="F807" s="869"/>
      <c r="G807" s="831"/>
      <c r="I807" s="1263"/>
    </row>
    <row r="808" spans="2:9">
      <c r="B808" s="896" t="s">
        <v>1087</v>
      </c>
      <c r="C808" s="1064"/>
      <c r="D808" s="1064"/>
      <c r="E808" s="1261"/>
      <c r="F808" s="869">
        <v>0</v>
      </c>
      <c r="G808" s="831">
        <v>0</v>
      </c>
      <c r="I808" s="1263"/>
    </row>
    <row r="809" spans="2:9">
      <c r="B809" s="896" t="s">
        <v>1088</v>
      </c>
      <c r="C809" s="1064"/>
      <c r="D809" s="1064"/>
      <c r="E809" s="1261"/>
      <c r="F809" s="869">
        <v>667226</v>
      </c>
      <c r="G809" s="831">
        <v>667226</v>
      </c>
      <c r="I809" s="1263"/>
    </row>
    <row r="810" spans="2:9">
      <c r="B810" s="906" t="s">
        <v>1091</v>
      </c>
      <c r="C810" s="1064"/>
      <c r="D810" s="1064"/>
      <c r="E810" s="1261"/>
      <c r="F810" s="869"/>
      <c r="G810" s="831"/>
      <c r="I810" s="1263"/>
    </row>
    <row r="811" spans="2:9">
      <c r="B811" s="896" t="s">
        <v>1087</v>
      </c>
      <c r="C811" s="1064"/>
      <c r="D811" s="1064"/>
      <c r="E811" s="1261"/>
      <c r="F811" s="869">
        <v>0</v>
      </c>
      <c r="G811" s="831">
        <v>0</v>
      </c>
      <c r="I811" s="1263"/>
    </row>
    <row r="812" spans="2:9">
      <c r="B812" s="896" t="s">
        <v>1088</v>
      </c>
      <c r="C812" s="1064"/>
      <c r="D812" s="1064"/>
      <c r="E812" s="1261"/>
      <c r="F812" s="869">
        <v>627223</v>
      </c>
      <c r="G812" s="831">
        <v>627223</v>
      </c>
      <c r="I812" s="1263"/>
    </row>
    <row r="813" spans="2:9" ht="168.75" customHeight="1">
      <c r="B813" s="1507" t="s">
        <v>2045</v>
      </c>
      <c r="C813" s="1508"/>
      <c r="D813" s="1508"/>
      <c r="E813" s="1508"/>
      <c r="F813" s="974"/>
      <c r="G813" s="975"/>
      <c r="I813" s="1263"/>
    </row>
    <row r="814" spans="2:9" ht="15.75" customHeight="1">
      <c r="B814" s="1081"/>
      <c r="C814" s="842"/>
      <c r="D814" s="842"/>
      <c r="E814" s="842"/>
      <c r="F814" s="1082"/>
      <c r="G814" s="1083"/>
      <c r="I814" s="1263"/>
    </row>
    <row r="815" spans="2:9">
      <c r="B815" s="921" t="s">
        <v>1093</v>
      </c>
      <c r="C815" s="894"/>
      <c r="D815" s="948"/>
      <c r="E815" s="948"/>
      <c r="F815" s="918"/>
      <c r="G815" s="1066"/>
      <c r="I815" s="1283"/>
    </row>
    <row r="816" spans="2:9">
      <c r="B816" s="1509" t="s">
        <v>1092</v>
      </c>
      <c r="C816" s="1510"/>
      <c r="D816" s="1510"/>
      <c r="E816" s="1510"/>
      <c r="F816" s="1510"/>
      <c r="G816" s="1511"/>
      <c r="I816" s="1307"/>
    </row>
    <row r="817" spans="1:19" s="858" customFormat="1">
      <c r="A817" s="818"/>
      <c r="B817" s="1439" t="s">
        <v>750</v>
      </c>
      <c r="C817" s="1440"/>
      <c r="D817" s="1440"/>
      <c r="E817" s="1440"/>
      <c r="F817" s="1440"/>
      <c r="G817" s="1441"/>
      <c r="H817" s="1266"/>
      <c r="I817" s="1286"/>
      <c r="J817" s="1278"/>
      <c r="K817" s="1278"/>
      <c r="L817" s="1278"/>
      <c r="M817" s="1278"/>
      <c r="N817" s="1278"/>
      <c r="O817" s="1278"/>
      <c r="P817" s="1278"/>
      <c r="Q817" s="1278"/>
      <c r="R817" s="1278"/>
      <c r="S817" s="1278"/>
    </row>
    <row r="818" spans="1:19">
      <c r="B818" s="1439" t="s">
        <v>1299</v>
      </c>
      <c r="C818" s="1440"/>
      <c r="D818" s="1440"/>
      <c r="E818" s="1440"/>
      <c r="F818" s="1440"/>
      <c r="G818" s="1441"/>
      <c r="I818" s="1286"/>
    </row>
    <row r="819" spans="1:19">
      <c r="B819" s="883"/>
      <c r="C819" s="884"/>
      <c r="D819" s="884"/>
      <c r="E819" s="884"/>
      <c r="F819" s="884"/>
      <c r="G819" s="1084"/>
      <c r="I819" s="1285"/>
    </row>
    <row r="820" spans="1:19">
      <c r="B820" s="921" t="s">
        <v>1095</v>
      </c>
      <c r="C820" s="894"/>
      <c r="D820" s="948"/>
      <c r="E820" s="948"/>
      <c r="F820" s="918"/>
      <c r="G820" s="1066"/>
      <c r="I820" s="1283"/>
    </row>
    <row r="821" spans="1:19" ht="38.25" customHeight="1">
      <c r="B821" s="1422" t="s">
        <v>1094</v>
      </c>
      <c r="C821" s="1423"/>
      <c r="D821" s="1423"/>
      <c r="E821" s="1423"/>
      <c r="F821" s="1423"/>
      <c r="G821" s="1424"/>
      <c r="I821" s="1307"/>
    </row>
    <row r="822" spans="1:19">
      <c r="B822" s="1085"/>
      <c r="C822" s="1064"/>
      <c r="D822" s="1064"/>
      <c r="E822" s="1064"/>
      <c r="F822" s="1065"/>
      <c r="G822" s="1086"/>
      <c r="I822" s="1303"/>
    </row>
    <row r="823" spans="1:19">
      <c r="B823" s="921" t="s">
        <v>1097</v>
      </c>
      <c r="C823" s="1064"/>
      <c r="D823" s="1064"/>
      <c r="E823" s="1064"/>
      <c r="F823" s="1065"/>
      <c r="G823" s="1086"/>
      <c r="I823" s="1303"/>
    </row>
    <row r="824" spans="1:19" ht="15.75" customHeight="1">
      <c r="B824" s="1422" t="s">
        <v>1098</v>
      </c>
      <c r="C824" s="1423"/>
      <c r="D824" s="1423"/>
      <c r="E824" s="1423"/>
      <c r="F824" s="1423"/>
      <c r="G824" s="1424"/>
      <c r="I824" s="1307"/>
    </row>
    <row r="825" spans="1:19">
      <c r="B825" s="1422"/>
      <c r="C825" s="1423"/>
      <c r="D825" s="1423"/>
      <c r="E825" s="1423"/>
      <c r="F825" s="1423"/>
      <c r="G825" s="1424"/>
      <c r="I825" s="1307"/>
    </row>
    <row r="826" spans="1:19">
      <c r="B826" s="1422"/>
      <c r="C826" s="1423"/>
      <c r="D826" s="1423"/>
      <c r="E826" s="1423"/>
      <c r="F826" s="1423"/>
      <c r="G826" s="1424"/>
      <c r="I826" s="1307"/>
    </row>
    <row r="827" spans="1:19">
      <c r="B827" s="1422"/>
      <c r="C827" s="1423"/>
      <c r="D827" s="1423"/>
      <c r="E827" s="1423"/>
      <c r="F827" s="1423"/>
      <c r="G827" s="1424"/>
      <c r="I827" s="1297"/>
    </row>
    <row r="828" spans="1:19">
      <c r="B828" s="921" t="s">
        <v>2041</v>
      </c>
      <c r="C828" s="1178"/>
      <c r="D828" s="1178"/>
      <c r="E828" s="1178"/>
      <c r="F828" s="1178"/>
      <c r="G828" s="1179"/>
      <c r="I828" s="1297"/>
    </row>
    <row r="829" spans="1:19">
      <c r="B829" s="1422" t="s">
        <v>2018</v>
      </c>
      <c r="C829" s="1423"/>
      <c r="D829" s="1423"/>
      <c r="E829" s="1423"/>
      <c r="F829" s="1423"/>
      <c r="G829" s="1424"/>
      <c r="I829" s="1297"/>
    </row>
    <row r="830" spans="1:19">
      <c r="B830" s="1422"/>
      <c r="C830" s="1423"/>
      <c r="D830" s="1423"/>
      <c r="E830" s="1423"/>
      <c r="F830" s="1423"/>
      <c r="G830" s="1424"/>
      <c r="I830" s="1297"/>
    </row>
    <row r="831" spans="1:19">
      <c r="B831" s="1177"/>
      <c r="C831" s="1178"/>
      <c r="D831" s="1178"/>
      <c r="E831" s="1178"/>
      <c r="F831" s="1178"/>
      <c r="G831" s="1179"/>
      <c r="I831" s="1297"/>
    </row>
    <row r="832" spans="1:19">
      <c r="B832" s="921" t="s">
        <v>2042</v>
      </c>
      <c r="C832" s="1042"/>
      <c r="D832" s="948"/>
      <c r="E832" s="948" t="s">
        <v>749</v>
      </c>
      <c r="F832" s="821"/>
      <c r="G832" s="973"/>
    </row>
    <row r="833" spans="2:9">
      <c r="B833" s="1087" t="s">
        <v>1099</v>
      </c>
      <c r="C833" s="1042"/>
      <c r="D833" s="948"/>
      <c r="E833" s="948"/>
      <c r="F833" s="821"/>
      <c r="G833" s="973"/>
    </row>
    <row r="834" spans="2:9" ht="63" customHeight="1">
      <c r="B834" s="1088"/>
      <c r="C834" s="1089"/>
      <c r="D834" s="1161" t="s">
        <v>1100</v>
      </c>
      <c r="E834" s="1162" t="s">
        <v>1101</v>
      </c>
      <c r="F834" s="1162" t="s">
        <v>1100</v>
      </c>
      <c r="G834" s="1163" t="s">
        <v>1101</v>
      </c>
      <c r="I834" s="1263"/>
    </row>
    <row r="835" spans="2:9">
      <c r="B835" s="1088"/>
      <c r="C835" s="1089"/>
      <c r="D835" s="1090" t="s">
        <v>1102</v>
      </c>
      <c r="E835" s="1091" t="s">
        <v>543</v>
      </c>
      <c r="F835" s="1092" t="s">
        <v>1102</v>
      </c>
      <c r="G835" s="1093" t="s">
        <v>544</v>
      </c>
      <c r="I835" s="1263"/>
    </row>
    <row r="836" spans="2:9" ht="33.75" customHeight="1">
      <c r="B836" s="1094" t="s">
        <v>1103</v>
      </c>
      <c r="C836" s="1095"/>
      <c r="D836" s="1096">
        <v>0</v>
      </c>
      <c r="E836" s="831">
        <v>0</v>
      </c>
      <c r="F836" s="831">
        <v>22000</v>
      </c>
      <c r="G836" s="973">
        <v>1521769</v>
      </c>
      <c r="I836" s="1263"/>
    </row>
    <row r="837" spans="2:9">
      <c r="B837" s="1041"/>
      <c r="C837" s="1097"/>
      <c r="D837" s="1096" t="s">
        <v>1104</v>
      </c>
      <c r="E837" s="831" t="s">
        <v>1104</v>
      </c>
      <c r="F837" s="831" t="s">
        <v>1104</v>
      </c>
      <c r="G837" s="973" t="s">
        <v>1104</v>
      </c>
      <c r="I837" s="1263"/>
    </row>
    <row r="838" spans="2:9">
      <c r="B838" s="1041" t="s">
        <v>1105</v>
      </c>
      <c r="C838" s="1097"/>
      <c r="D838" s="1096">
        <v>0</v>
      </c>
      <c r="E838" s="831">
        <v>0</v>
      </c>
      <c r="F838" s="831">
        <v>17930</v>
      </c>
      <c r="G838" s="973">
        <v>1240241</v>
      </c>
      <c r="I838" s="1263"/>
    </row>
    <row r="839" spans="2:9">
      <c r="B839" s="1088"/>
      <c r="C839" s="1089"/>
      <c r="D839" s="1098" t="s">
        <v>1104</v>
      </c>
      <c r="E839" s="974" t="s">
        <v>1104</v>
      </c>
      <c r="F839" s="974" t="s">
        <v>1104</v>
      </c>
      <c r="G839" s="975" t="s">
        <v>1104</v>
      </c>
      <c r="I839" s="1263"/>
    </row>
    <row r="840" spans="2:9" ht="15.75" customHeight="1">
      <c r="B840" s="1099" t="s">
        <v>1106</v>
      </c>
      <c r="C840" s="1100"/>
      <c r="D840" s="1100"/>
      <c r="E840" s="1100"/>
      <c r="F840" s="1100"/>
      <c r="G840" s="1101"/>
      <c r="I840" s="1263"/>
    </row>
    <row r="841" spans="2:9">
      <c r="B841" s="1099"/>
      <c r="C841" s="1100"/>
      <c r="D841" s="1100"/>
      <c r="E841" s="1100"/>
      <c r="F841" s="1100"/>
      <c r="G841" s="1101"/>
      <c r="I841" s="1263"/>
    </row>
    <row r="842" spans="2:9">
      <c r="B842" s="921" t="s">
        <v>2067</v>
      </c>
      <c r="C842" s="1100"/>
      <c r="D842" s="1100"/>
      <c r="E842" s="1100"/>
      <c r="F842" s="1100"/>
      <c r="G842" s="1101"/>
      <c r="I842" s="1263"/>
    </row>
    <row r="843" spans="2:9">
      <c r="B843" s="1479" t="s">
        <v>2058</v>
      </c>
      <c r="C843" s="1480"/>
      <c r="D843" s="1480"/>
      <c r="E843" s="1480"/>
      <c r="F843" s="1480"/>
      <c r="G843" s="1481"/>
      <c r="I843" s="1263"/>
    </row>
    <row r="844" spans="2:9">
      <c r="B844" s="1099"/>
      <c r="C844" s="1100"/>
      <c r="D844" s="1100"/>
      <c r="E844" s="1100"/>
      <c r="F844" s="1100"/>
      <c r="G844" s="1101"/>
      <c r="I844" s="1263"/>
    </row>
    <row r="845" spans="2:9">
      <c r="B845" s="921" t="s">
        <v>2043</v>
      </c>
      <c r="C845" s="1042"/>
      <c r="D845" s="948"/>
      <c r="E845" s="948"/>
      <c r="F845" s="821"/>
      <c r="G845" s="973"/>
    </row>
    <row r="846" spans="2:9">
      <c r="B846" s="1048" t="s">
        <v>1107</v>
      </c>
      <c r="C846" s="1102"/>
      <c r="D846" s="1102"/>
      <c r="E846" s="1102"/>
      <c r="F846" s="1102"/>
      <c r="G846" s="1103"/>
      <c r="I846" s="1308"/>
    </row>
    <row r="847" spans="2:9">
      <c r="B847" s="840"/>
      <c r="C847" s="818"/>
      <c r="D847" s="845"/>
      <c r="E847" s="845"/>
      <c r="F847" s="844"/>
      <c r="G847" s="1105"/>
      <c r="I847" s="1284"/>
    </row>
    <row r="848" spans="2:9">
      <c r="B848" s="846" t="s">
        <v>791</v>
      </c>
      <c r="C848" s="847"/>
      <c r="D848" s="820" t="s">
        <v>792</v>
      </c>
      <c r="E848" s="820"/>
      <c r="F848" s="821"/>
      <c r="G848" s="964"/>
    </row>
    <row r="849" spans="2:9">
      <c r="B849" s="848" t="s">
        <v>793</v>
      </c>
      <c r="C849" s="818"/>
      <c r="D849" s="820"/>
      <c r="E849" s="820"/>
      <c r="F849" s="821"/>
      <c r="G849" s="964"/>
      <c r="I849" s="1309"/>
    </row>
    <row r="850" spans="2:9">
      <c r="B850" s="848" t="s">
        <v>794</v>
      </c>
      <c r="C850" s="849"/>
      <c r="D850" s="820"/>
      <c r="E850" s="820"/>
      <c r="F850" s="821"/>
      <c r="G850" s="964"/>
      <c r="I850" s="1309"/>
    </row>
    <row r="851" spans="2:9">
      <c r="B851" s="848" t="s">
        <v>795</v>
      </c>
      <c r="C851" s="849"/>
      <c r="D851" s="820"/>
      <c r="E851" s="820"/>
      <c r="F851" s="821"/>
      <c r="G851" s="964"/>
      <c r="I851" s="1309"/>
    </row>
    <row r="852" spans="2:9">
      <c r="B852" s="848"/>
      <c r="C852" s="818"/>
      <c r="D852" s="850" t="str">
        <f>+E54</f>
        <v>KAILASH AGARWAL - MANAGING DIRECTOR</v>
      </c>
      <c r="E852" s="850"/>
      <c r="F852" s="821"/>
      <c r="G852" s="964"/>
      <c r="I852" s="1310"/>
    </row>
    <row r="853" spans="2:9">
      <c r="B853" s="848"/>
      <c r="C853" s="849"/>
      <c r="D853" s="850" t="str">
        <f t="shared" ref="D853:D871" si="0">+E55</f>
        <v>(DIN:00367292)</v>
      </c>
      <c r="E853" s="818"/>
      <c r="F853" s="821"/>
      <c r="G853" s="964"/>
      <c r="I853" s="1309"/>
    </row>
    <row r="854" spans="2:9">
      <c r="B854" s="848"/>
      <c r="C854" s="849"/>
      <c r="D854" s="850"/>
      <c r="E854" s="818"/>
      <c r="F854" s="821"/>
      <c r="G854" s="964"/>
      <c r="I854" s="1309"/>
    </row>
    <row r="855" spans="2:9">
      <c r="B855" s="848"/>
      <c r="C855" s="849"/>
      <c r="D855" s="850"/>
      <c r="E855" s="818"/>
      <c r="F855" s="821"/>
      <c r="G855" s="964"/>
      <c r="I855" s="1309"/>
    </row>
    <row r="856" spans="2:9">
      <c r="B856" s="848"/>
      <c r="C856" s="849"/>
      <c r="D856" s="850"/>
      <c r="E856" s="850"/>
      <c r="F856" s="821"/>
      <c r="G856" s="964"/>
      <c r="I856" s="1309"/>
    </row>
    <row r="857" spans="2:9">
      <c r="B857" s="848" t="s">
        <v>798</v>
      </c>
      <c r="C857" s="819"/>
      <c r="D857" s="850" t="str">
        <f t="shared" si="0"/>
        <v>ANIL KUMAR LAKHOTIYA - JT MANAGING  DIRECTOR</v>
      </c>
      <c r="E857" s="818"/>
      <c r="F857" s="821"/>
      <c r="G857" s="964"/>
      <c r="I857" s="1310"/>
    </row>
    <row r="858" spans="2:9">
      <c r="B858" s="848" t="s">
        <v>800</v>
      </c>
      <c r="C858" s="851"/>
      <c r="D858" s="850" t="str">
        <f t="shared" si="0"/>
        <v>(DIN:00367361)</v>
      </c>
      <c r="E858" s="820"/>
      <c r="F858" s="821"/>
      <c r="G858" s="964"/>
      <c r="I858" s="1310"/>
    </row>
    <row r="859" spans="2:9">
      <c r="B859" s="848" t="s">
        <v>802</v>
      </c>
      <c r="C859" s="851"/>
      <c r="D859" s="850"/>
      <c r="E859" s="820"/>
      <c r="F859" s="821"/>
      <c r="G859" s="964"/>
      <c r="I859" s="1310"/>
    </row>
    <row r="860" spans="2:9">
      <c r="B860" s="848" t="str">
        <f>+B62</f>
        <v>Place: Nagpur</v>
      </c>
      <c r="C860" s="851"/>
      <c r="D860" s="850"/>
      <c r="E860" s="850"/>
      <c r="F860" s="821"/>
      <c r="G860" s="964"/>
      <c r="I860" s="1310"/>
    </row>
    <row r="861" spans="2:9" ht="36" customHeight="1">
      <c r="B861" s="848" t="str">
        <f t="shared" ref="B861:B862" si="1">+B63</f>
        <v>Date: 03/07/2020</v>
      </c>
      <c r="C861" s="851"/>
      <c r="D861" s="1401" t="str">
        <f t="shared" si="0"/>
        <v>JARNAIL SINGH SAINI - CHIEF FINANCIAL OFFICER &amp; EXECUTIVE DIRECTOR</v>
      </c>
      <c r="E861" s="1401"/>
      <c r="F861" s="1401"/>
      <c r="G861" s="1402"/>
      <c r="I861" s="1310"/>
    </row>
    <row r="862" spans="2:9">
      <c r="B862" s="848" t="str">
        <f t="shared" si="1"/>
        <v>UDIN : 20144005AAAAAL9647</v>
      </c>
      <c r="C862" s="851"/>
      <c r="D862" s="850" t="str">
        <f t="shared" si="0"/>
        <v>(DIN:00367656)</v>
      </c>
      <c r="E862" s="818"/>
      <c r="F862" s="821"/>
      <c r="G862" s="964"/>
      <c r="I862" s="1309"/>
    </row>
    <row r="863" spans="2:9">
      <c r="B863" s="848"/>
      <c r="C863" s="851"/>
      <c r="D863" s="850"/>
      <c r="E863" s="818"/>
      <c r="F863" s="821"/>
      <c r="G863" s="964"/>
      <c r="I863" s="1309"/>
    </row>
    <row r="864" spans="2:9">
      <c r="B864" s="848"/>
      <c r="C864" s="851"/>
      <c r="D864" s="850"/>
      <c r="E864" s="818"/>
      <c r="F864" s="821"/>
      <c r="G864" s="964"/>
      <c r="I864" s="1309"/>
    </row>
    <row r="865" spans="2:9">
      <c r="B865" s="848"/>
      <c r="C865" s="851"/>
      <c r="D865" s="850"/>
      <c r="E865" s="850"/>
      <c r="F865" s="821"/>
      <c r="G865" s="964"/>
      <c r="I865" s="1309"/>
    </row>
    <row r="866" spans="2:9">
      <c r="B866" s="848"/>
      <c r="C866" s="851"/>
      <c r="D866" s="850" t="str">
        <f t="shared" si="0"/>
        <v>OMPRAKASH RATHI - EXECUTIVE DIRECTOR</v>
      </c>
      <c r="E866" s="854"/>
      <c r="F866" s="821"/>
      <c r="G866" s="964"/>
      <c r="I866" s="1309"/>
    </row>
    <row r="867" spans="2:9">
      <c r="B867" s="848"/>
      <c r="C867" s="851"/>
      <c r="D867" s="850" t="str">
        <f t="shared" si="0"/>
        <v>(DIN:00895316)</v>
      </c>
      <c r="E867" s="854"/>
      <c r="F867" s="821"/>
      <c r="G867" s="964"/>
      <c r="I867" s="1309"/>
    </row>
    <row r="868" spans="2:9">
      <c r="B868" s="848"/>
      <c r="C868" s="851"/>
      <c r="D868" s="850"/>
      <c r="E868" s="854"/>
      <c r="F868" s="821"/>
      <c r="G868" s="964"/>
      <c r="I868" s="1309"/>
    </row>
    <row r="869" spans="2:9">
      <c r="B869" s="848"/>
      <c r="C869" s="851"/>
      <c r="D869" s="850"/>
      <c r="E869" s="854"/>
      <c r="F869" s="821"/>
      <c r="G869" s="964"/>
      <c r="I869" s="1309"/>
    </row>
    <row r="870" spans="2:9">
      <c r="B870" s="848"/>
      <c r="C870" s="851"/>
      <c r="D870" s="850"/>
      <c r="E870" s="850"/>
      <c r="F870" s="821"/>
      <c r="G870" s="964"/>
      <c r="I870" s="1309"/>
    </row>
    <row r="871" spans="2:9">
      <c r="B871" s="848"/>
      <c r="C871" s="851"/>
      <c r="D871" s="850" t="str">
        <f t="shared" si="0"/>
        <v>MAYANK LUNIYA - COMPANY SECRETARY</v>
      </c>
      <c r="E871" s="854"/>
      <c r="F871" s="821"/>
      <c r="G871" s="964"/>
      <c r="I871" s="1309"/>
    </row>
    <row r="872" spans="2:9">
      <c r="B872" s="848"/>
      <c r="C872" s="851"/>
      <c r="D872" s="854" t="s">
        <v>803</v>
      </c>
      <c r="E872" s="854"/>
      <c r="F872" s="821"/>
      <c r="G872" s="964"/>
      <c r="I872" s="1309"/>
    </row>
    <row r="873" spans="2:9">
      <c r="B873" s="1070"/>
      <c r="C873" s="1061"/>
      <c r="D873" s="919" t="s">
        <v>2000</v>
      </c>
      <c r="E873" s="919"/>
      <c r="F873" s="857"/>
      <c r="G873" s="1106"/>
      <c r="I873" s="1309"/>
    </row>
    <row r="874" spans="2:9">
      <c r="B874" s="1048"/>
      <c r="C874" s="1102"/>
      <c r="D874" s="1107"/>
      <c r="E874" s="1102"/>
      <c r="F874" s="1104"/>
      <c r="G874" s="1104"/>
      <c r="I874" s="1308"/>
    </row>
  </sheetData>
  <sortState ref="B313:G317">
    <sortCondition descending="1" ref="F313:F317"/>
  </sortState>
  <customSheetViews>
    <customSheetView guid="{F039C147-8083-49A0-B541-A610A15BA793}" scale="60" showPageBreaks="1" printArea="1" hiddenRows="1" view="pageBreakPreview">
      <pane ySplit="1" topLeftCell="A2" activePane="bottomLeft" state="frozen"/>
      <selection pane="bottomLeft" activeCell="G1" sqref="G1"/>
      <rowBreaks count="6" manualBreakCount="6">
        <brk id="75" min="1" max="6" man="1"/>
        <brk id="144" min="1" max="6" man="1"/>
        <brk id="240" min="1" max="6" man="1"/>
        <brk id="309" min="1" max="6" man="1"/>
        <brk id="369" min="1" max="6" man="1"/>
        <brk id="413" min="1" max="6" man="1"/>
      </rowBreaks>
      <colBreaks count="2" manualBreakCount="2">
        <brk id="7" max="801" man="1"/>
        <brk id="8" max="801" man="1"/>
      </colBreaks>
      <pageMargins left="0.7" right="0.7" top="0.75" bottom="0.75" header="0.3" footer="0.3"/>
      <pageSetup scale="58" orientation="portrait" r:id="rId1"/>
    </customSheetView>
    <customSheetView guid="{F140806D-66CA-4A66-855A-CCBDE7D69760}" scale="60" showPageBreaks="1" printArea="1" hiddenRows="1" view="pageBreakPreview">
      <pane ySplit="1" topLeftCell="A2" activePane="bottomLeft" state="frozen"/>
      <selection pane="bottomLeft" activeCell="A2" sqref="A2"/>
      <rowBreaks count="6" manualBreakCount="6">
        <brk id="75" min="1" max="6" man="1"/>
        <brk id="144" min="1" max="6" man="1"/>
        <brk id="240" min="1" max="6" man="1"/>
        <brk id="309" min="1" max="6" man="1"/>
        <brk id="369" min="1" max="6" man="1"/>
        <brk id="412" min="1" max="6" man="1"/>
      </rowBreaks>
      <colBreaks count="2" manualBreakCount="2">
        <brk id="7" max="801" man="1"/>
        <brk id="8" max="801" man="1"/>
      </colBreaks>
      <pageMargins left="0.7" right="0.7" top="0.75" bottom="0.75" header="0.3" footer="0.3"/>
      <pageSetup scale="58" orientation="portrait" r:id="rId2"/>
    </customSheetView>
  </customSheetViews>
  <mergeCells count="81">
    <mergeCell ref="B821:G821"/>
    <mergeCell ref="B587:E587"/>
    <mergeCell ref="B581:G581"/>
    <mergeCell ref="B582:G582"/>
    <mergeCell ref="B766:G766"/>
    <mergeCell ref="B767:G767"/>
    <mergeCell ref="B805:D805"/>
    <mergeCell ref="B813:E813"/>
    <mergeCell ref="B816:G816"/>
    <mergeCell ref="B817:G817"/>
    <mergeCell ref="B818:G818"/>
    <mergeCell ref="B545:E545"/>
    <mergeCell ref="B628:G628"/>
    <mergeCell ref="B629:G629"/>
    <mergeCell ref="B707:G707"/>
    <mergeCell ref="B708:G708"/>
    <mergeCell ref="B669:G669"/>
    <mergeCell ref="B670:G670"/>
    <mergeCell ref="E133:G133"/>
    <mergeCell ref="E214:G214"/>
    <mergeCell ref="B843:G843"/>
    <mergeCell ref="B114:C114"/>
    <mergeCell ref="B234:E234"/>
    <mergeCell ref="B235:E235"/>
    <mergeCell ref="B148:G148"/>
    <mergeCell ref="B149:G149"/>
    <mergeCell ref="B228:G228"/>
    <mergeCell ref="B261:E263"/>
    <mergeCell ref="B277:C277"/>
    <mergeCell ref="B264:E264"/>
    <mergeCell ref="B229:G229"/>
    <mergeCell ref="B824:G827"/>
    <mergeCell ref="B360:D360"/>
    <mergeCell ref="B829:G830"/>
    <mergeCell ref="B2:G2"/>
    <mergeCell ref="B3:G3"/>
    <mergeCell ref="B113:C113"/>
    <mergeCell ref="E4:E5"/>
    <mergeCell ref="E80:E81"/>
    <mergeCell ref="B91:C91"/>
    <mergeCell ref="B95:C95"/>
    <mergeCell ref="B104:C104"/>
    <mergeCell ref="B105:C105"/>
    <mergeCell ref="B111:D111"/>
    <mergeCell ref="B78:G78"/>
    <mergeCell ref="B79:G79"/>
    <mergeCell ref="E63:G63"/>
    <mergeCell ref="B378:E379"/>
    <mergeCell ref="B457:H457"/>
    <mergeCell ref="B458:H458"/>
    <mergeCell ref="B396:E396"/>
    <mergeCell ref="B329:E334"/>
    <mergeCell ref="B340:E342"/>
    <mergeCell ref="B345:E345"/>
    <mergeCell ref="B346:E346"/>
    <mergeCell ref="B389:E389"/>
    <mergeCell ref="B390:E390"/>
    <mergeCell ref="B391:E391"/>
    <mergeCell ref="B386:G388"/>
    <mergeCell ref="B417:G417"/>
    <mergeCell ref="B506:G506"/>
    <mergeCell ref="B393:E393"/>
    <mergeCell ref="B394:E394"/>
    <mergeCell ref="B395:E395"/>
    <mergeCell ref="B526:E526"/>
    <mergeCell ref="D861:G861"/>
    <mergeCell ref="B250:E251"/>
    <mergeCell ref="B260:E260"/>
    <mergeCell ref="B638:G641"/>
    <mergeCell ref="B416:G416"/>
    <mergeCell ref="B632:G636"/>
    <mergeCell ref="B352:G352"/>
    <mergeCell ref="B295:G295"/>
    <mergeCell ref="B296:G296"/>
    <mergeCell ref="B278:E278"/>
    <mergeCell ref="B318:E318"/>
    <mergeCell ref="B324:E325"/>
    <mergeCell ref="B327:E327"/>
    <mergeCell ref="B353:G353"/>
    <mergeCell ref="B507:G507"/>
    <mergeCell ref="B305:E306"/>
  </mergeCells>
  <printOptions horizontalCentered="1" verticalCentered="1"/>
  <pageMargins left="0.31496062992125984" right="0.31496062992125984" top="0.15748031496062992" bottom="0.15748031496062992" header="0.31496062992125984" footer="0.31496062992125984"/>
  <pageSetup paperSize="9" scale="10" orientation="portrait" r:id="rId3"/>
  <rowBreaks count="12" manualBreakCount="12">
    <brk id="77" min="1" max="6" man="1"/>
    <brk id="147" min="1" max="6" man="1"/>
    <brk id="227" min="1" max="6" man="1"/>
    <brk id="294" min="1" max="6" man="1"/>
    <brk id="351" min="1" max="6" man="1"/>
    <brk id="415" min="1" max="6" man="1"/>
    <brk id="505" min="1" max="6" man="1"/>
    <brk id="579" min="1" max="6" man="1"/>
    <brk id="668" min="1" max="6" man="1"/>
    <brk id="727" min="1" max="6" man="1"/>
    <brk id="765" min="1" max="6" man="1"/>
    <brk id="829" min="1" max="6" man="1"/>
  </rowBreaks>
  <colBreaks count="1" manualBreakCount="1">
    <brk id="8" max="80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95"/>
  <sheetViews>
    <sheetView view="pageBreakPreview" topLeftCell="A75" zoomScale="78" zoomScaleNormal="85" zoomScaleSheetLayoutView="78" workbookViewId="0">
      <selection activeCell="F94" sqref="F94"/>
    </sheetView>
  </sheetViews>
  <sheetFormatPr defaultRowHeight="15"/>
  <cols>
    <col min="1" max="1" width="2.140625" style="499" customWidth="1"/>
    <col min="2" max="2" width="4.140625" style="499" customWidth="1"/>
    <col min="3" max="3" width="7.7109375" style="499" customWidth="1"/>
    <col min="4" max="4" width="35.85546875" style="499" bestFit="1" customWidth="1"/>
    <col min="5" max="5" width="20" style="499" bestFit="1" customWidth="1"/>
    <col min="6" max="6" width="18.42578125" style="500" bestFit="1" customWidth="1"/>
    <col min="7" max="7" width="17.85546875" style="499" bestFit="1" customWidth="1"/>
    <col min="8" max="9" width="19.7109375" style="499" bestFit="1" customWidth="1"/>
    <col min="10" max="10" width="18.42578125" style="500" bestFit="1" customWidth="1"/>
    <col min="11" max="11" width="15" style="500" bestFit="1" customWidth="1"/>
    <col min="12" max="12" width="17.85546875" style="499" bestFit="1" customWidth="1"/>
    <col min="13" max="14" width="19.7109375" style="499" bestFit="1" customWidth="1"/>
    <col min="15" max="15" width="20" style="499" bestFit="1" customWidth="1"/>
    <col min="16" max="16" width="9.140625" style="499"/>
    <col min="17" max="17" width="10.140625" style="499" bestFit="1" customWidth="1"/>
    <col min="18" max="16384" width="9.140625" style="499"/>
  </cols>
  <sheetData>
    <row r="1" spans="1:15" hidden="1"/>
    <row r="2" spans="1:15" ht="19.5" hidden="1">
      <c r="A2" s="501"/>
      <c r="B2" s="501"/>
      <c r="C2" s="502" t="s">
        <v>1259</v>
      </c>
      <c r="D2" s="503"/>
      <c r="E2" s="503"/>
      <c r="F2" s="504"/>
      <c r="G2" s="503"/>
      <c r="H2" s="503"/>
      <c r="I2" s="503"/>
      <c r="J2" s="504"/>
      <c r="K2" s="504"/>
      <c r="L2" s="503"/>
      <c r="M2" s="503"/>
      <c r="N2" s="503"/>
      <c r="O2" s="503"/>
    </row>
    <row r="3" spans="1:15" hidden="1">
      <c r="A3" s="501"/>
      <c r="B3" s="501"/>
      <c r="C3" s="505"/>
      <c r="D3" s="503"/>
      <c r="E3" s="503"/>
      <c r="F3" s="504"/>
      <c r="G3" s="503"/>
      <c r="H3" s="503"/>
      <c r="I3" s="503"/>
      <c r="J3" s="504"/>
      <c r="K3" s="504"/>
      <c r="L3" s="503"/>
      <c r="M3" s="503"/>
      <c r="N3" s="503"/>
      <c r="O3" s="503"/>
    </row>
    <row r="4" spans="1:15" hidden="1">
      <c r="A4" s="501"/>
      <c r="B4" s="501"/>
      <c r="C4" s="506" t="s">
        <v>1736</v>
      </c>
      <c r="D4" s="503"/>
      <c r="E4" s="503"/>
      <c r="F4" s="504"/>
      <c r="G4" s="503"/>
      <c r="H4" s="503"/>
      <c r="I4" s="503"/>
      <c r="J4" s="504"/>
      <c r="K4" s="504"/>
      <c r="L4" s="503"/>
      <c r="M4" s="503"/>
      <c r="N4" s="503"/>
      <c r="O4" s="503"/>
    </row>
    <row r="5" spans="1:15" hidden="1">
      <c r="B5" s="501"/>
      <c r="C5" s="506" t="s">
        <v>1737</v>
      </c>
      <c r="J5" s="504"/>
      <c r="K5" s="504"/>
      <c r="L5" s="503"/>
      <c r="M5" s="503"/>
      <c r="N5" s="503"/>
      <c r="O5" s="507" t="s">
        <v>1738</v>
      </c>
    </row>
    <row r="6" spans="1:15" s="508" customFormat="1" ht="15" hidden="1" customHeight="1">
      <c r="B6" s="509"/>
      <c r="C6" s="1512" t="s">
        <v>1739</v>
      </c>
      <c r="D6" s="1512" t="s">
        <v>546</v>
      </c>
      <c r="E6" s="1514" t="s">
        <v>1740</v>
      </c>
      <c r="F6" s="1515"/>
      <c r="G6" s="1515"/>
      <c r="H6" s="1516"/>
      <c r="I6" s="1514" t="s">
        <v>1741</v>
      </c>
      <c r="J6" s="1515"/>
      <c r="K6" s="1515"/>
      <c r="L6" s="1515"/>
      <c r="M6" s="1516"/>
      <c r="N6" s="1517" t="s">
        <v>1742</v>
      </c>
      <c r="O6" s="1518"/>
    </row>
    <row r="7" spans="1:15" ht="30" hidden="1">
      <c r="C7" s="1513"/>
      <c r="D7" s="1513"/>
      <c r="E7" s="510" t="s">
        <v>1743</v>
      </c>
      <c r="F7" s="511" t="s">
        <v>1744</v>
      </c>
      <c r="G7" s="510" t="s">
        <v>1745</v>
      </c>
      <c r="H7" s="510" t="s">
        <v>1746</v>
      </c>
      <c r="I7" s="510" t="str">
        <f>$E$7</f>
        <v>As On
01.04.2015</v>
      </c>
      <c r="J7" s="511" t="s">
        <v>1747</v>
      </c>
      <c r="K7" s="511"/>
      <c r="L7" s="510" t="s">
        <v>1745</v>
      </c>
      <c r="M7" s="510" t="str">
        <f>$H$7</f>
        <v>As On
31.03.2016</v>
      </c>
      <c r="N7" s="510" t="s">
        <v>1746</v>
      </c>
      <c r="O7" s="510" t="s">
        <v>1748</v>
      </c>
    </row>
    <row r="8" spans="1:15" hidden="1">
      <c r="A8" s="501"/>
      <c r="B8" s="501"/>
      <c r="C8" s="512"/>
      <c r="D8" s="513" t="s">
        <v>1749</v>
      </c>
      <c r="E8" s="514"/>
      <c r="F8" s="515"/>
      <c r="G8" s="516"/>
      <c r="H8" s="516"/>
      <c r="I8" s="516"/>
      <c r="J8" s="515"/>
      <c r="K8" s="515"/>
      <c r="L8" s="516"/>
      <c r="M8" s="516"/>
      <c r="N8" s="516"/>
      <c r="O8" s="516"/>
    </row>
    <row r="9" spans="1:15" hidden="1">
      <c r="A9" s="501"/>
      <c r="B9" s="501"/>
      <c r="C9" s="517">
        <v>1</v>
      </c>
      <c r="D9" s="518" t="s">
        <v>1750</v>
      </c>
      <c r="E9" s="519">
        <f>[45]Land!$I$28</f>
        <v>1156703.8999999999</v>
      </c>
      <c r="F9" s="520">
        <v>0</v>
      </c>
      <c r="G9" s="519">
        <v>0</v>
      </c>
      <c r="H9" s="521">
        <f>+E9+F9-G9</f>
        <v>1156703.8999999999</v>
      </c>
      <c r="I9" s="521">
        <v>0</v>
      </c>
      <c r="J9" s="522">
        <v>0</v>
      </c>
      <c r="K9" s="522"/>
      <c r="L9" s="521">
        <v>0</v>
      </c>
      <c r="M9" s="521">
        <f>+I9+J9-L9</f>
        <v>0</v>
      </c>
      <c r="N9" s="521">
        <f>+H9-M9</f>
        <v>1156703.8999999999</v>
      </c>
      <c r="O9" s="521">
        <f>H9</f>
        <v>1156703.8999999999</v>
      </c>
    </row>
    <row r="10" spans="1:15" hidden="1">
      <c r="A10" s="501"/>
      <c r="B10" s="501"/>
      <c r="C10" s="517"/>
      <c r="D10" s="518" t="s">
        <v>1751</v>
      </c>
      <c r="E10" s="519">
        <f>'[45]Building Other'!$I$2125</f>
        <v>24930922.633541044</v>
      </c>
      <c r="F10" s="520" t="e">
        <f>'[45]Building Other'!#REF!+'[45]Building Other'!J2191</f>
        <v>#REF!</v>
      </c>
      <c r="G10" s="519">
        <f>'[45]Building Other'!K2193</f>
        <v>2946061</v>
      </c>
      <c r="H10" s="521" t="e">
        <f>+E10+F10-G10</f>
        <v>#REF!</v>
      </c>
      <c r="I10" s="521">
        <v>4083469</v>
      </c>
      <c r="J10" s="522">
        <f>'[45]Building Other'!T2193</f>
        <v>924315</v>
      </c>
      <c r="K10" s="522"/>
      <c r="L10" s="521">
        <v>374789</v>
      </c>
      <c r="M10" s="521">
        <f>+I10+J10-L10</f>
        <v>4632995</v>
      </c>
      <c r="N10" s="521" t="e">
        <f>+H10-M10</f>
        <v>#REF!</v>
      </c>
      <c r="O10" s="521">
        <f>E10-I10</f>
        <v>20847453.633541044</v>
      </c>
    </row>
    <row r="11" spans="1:15" hidden="1">
      <c r="A11" s="501"/>
      <c r="B11" s="501"/>
      <c r="C11" s="517">
        <v>2</v>
      </c>
      <c r="D11" s="518" t="s">
        <v>1752</v>
      </c>
      <c r="E11" s="519">
        <f>'[45]Factory Building '!$I$320</f>
        <v>12311200.980000002</v>
      </c>
      <c r="F11" s="520">
        <f>'[45]Factory Building '!J343</f>
        <v>0</v>
      </c>
      <c r="G11" s="519">
        <f>'[45]Factory Building '!K345</f>
        <v>0</v>
      </c>
      <c r="H11" s="521">
        <f t="shared" ref="H11:H17" si="0">+E11+F11-G11</f>
        <v>12311200.980000002</v>
      </c>
      <c r="I11" s="521">
        <v>4557770.1907409048</v>
      </c>
      <c r="J11" s="522">
        <f>'[45]Factory Building '!T345</f>
        <v>439863</v>
      </c>
      <c r="K11" s="522"/>
      <c r="L11" s="521">
        <v>0</v>
      </c>
      <c r="M11" s="521">
        <f t="shared" ref="M11:M17" si="1">+I11+J11-L11</f>
        <v>4997633.1907409048</v>
      </c>
      <c r="N11" s="521">
        <f t="shared" ref="N11:N17" si="2">+H11-M11</f>
        <v>7313567.7892590975</v>
      </c>
      <c r="O11" s="521">
        <f t="shared" ref="O11:O17" si="3">E11-I11</f>
        <v>7753430.7892590975</v>
      </c>
    </row>
    <row r="12" spans="1:15" hidden="1">
      <c r="A12" s="501"/>
      <c r="B12" s="501"/>
      <c r="C12" s="517">
        <v>3</v>
      </c>
      <c r="D12" s="503" t="s">
        <v>261</v>
      </c>
      <c r="E12" s="519">
        <f>'[45]Plant &amp; Machinery'!$I$2120</f>
        <v>166144358.9295578</v>
      </c>
      <c r="F12" s="520">
        <f>'[45]Plant &amp; Machinery'!I2155+'[45]Plant &amp; Machinery'!I2178</f>
        <v>7781786</v>
      </c>
      <c r="G12" s="519">
        <f>'[45]Plant &amp; Machinery'!K2180</f>
        <v>346879</v>
      </c>
      <c r="H12" s="521">
        <f t="shared" si="0"/>
        <v>173579265.9295578</v>
      </c>
      <c r="I12" s="521">
        <v>31029514.46137565</v>
      </c>
      <c r="J12" s="522">
        <f>'[45]Plant &amp; Machinery'!T2180</f>
        <v>10612518</v>
      </c>
      <c r="K12" s="522"/>
      <c r="L12" s="521">
        <v>5787</v>
      </c>
      <c r="M12" s="521">
        <f t="shared" si="1"/>
        <v>41636245.461375654</v>
      </c>
      <c r="N12" s="521">
        <f t="shared" si="2"/>
        <v>131943020.46818215</v>
      </c>
      <c r="O12" s="521">
        <f t="shared" si="3"/>
        <v>135114844.46818215</v>
      </c>
    </row>
    <row r="13" spans="1:15" hidden="1">
      <c r="A13" s="501"/>
      <c r="B13" s="501"/>
      <c r="C13" s="517">
        <v>4</v>
      </c>
      <c r="D13" s="518" t="s">
        <v>113</v>
      </c>
      <c r="E13" s="519">
        <f>'[45]Electrical Installation'!$I$494</f>
        <v>23050327.140311562</v>
      </c>
      <c r="F13" s="520">
        <f>'[45]Electrical Installation'!J509</f>
        <v>0</v>
      </c>
      <c r="G13" s="519">
        <f>'[45]Electrical Installation'!K511</f>
        <v>30835.08</v>
      </c>
      <c r="H13" s="521">
        <f t="shared" si="0"/>
        <v>23019492.060311563</v>
      </c>
      <c r="I13" s="521">
        <v>5225544.343607232</v>
      </c>
      <c r="J13" s="522">
        <f>'[45]Electrical Installation'!T511</f>
        <v>1523925</v>
      </c>
      <c r="K13" s="522"/>
      <c r="L13" s="521">
        <v>1542</v>
      </c>
      <c r="M13" s="521">
        <f t="shared" si="1"/>
        <v>6747927.343607232</v>
      </c>
      <c r="N13" s="521">
        <f t="shared" si="2"/>
        <v>16271564.716704331</v>
      </c>
      <c r="O13" s="521">
        <f t="shared" si="3"/>
        <v>17824782.79670433</v>
      </c>
    </row>
    <row r="14" spans="1:15" hidden="1">
      <c r="A14" s="501"/>
      <c r="B14" s="501"/>
      <c r="C14" s="517">
        <v>5</v>
      </c>
      <c r="D14" s="518" t="s">
        <v>76</v>
      </c>
      <c r="E14" s="519">
        <f>[45]Computer!I76</f>
        <v>793799</v>
      </c>
      <c r="F14" s="520">
        <f>[45]Computer!J84</f>
        <v>0</v>
      </c>
      <c r="G14" s="519">
        <v>0</v>
      </c>
      <c r="H14" s="521">
        <f t="shared" si="0"/>
        <v>793799</v>
      </c>
      <c r="I14" s="521">
        <v>635741.00944788067</v>
      </c>
      <c r="J14" s="522">
        <f>[45]Computer!T86</f>
        <v>0</v>
      </c>
      <c r="K14" s="522"/>
      <c r="L14" s="521">
        <v>0</v>
      </c>
      <c r="M14" s="521">
        <f t="shared" si="1"/>
        <v>635741.00944788067</v>
      </c>
      <c r="N14" s="521">
        <f t="shared" si="2"/>
        <v>158057.99055211933</v>
      </c>
      <c r="O14" s="521">
        <f t="shared" si="3"/>
        <v>158057.99055211933</v>
      </c>
    </row>
    <row r="15" spans="1:15" hidden="1">
      <c r="A15" s="501"/>
      <c r="B15" s="501"/>
      <c r="C15" s="517"/>
      <c r="D15" s="518" t="s">
        <v>238</v>
      </c>
      <c r="E15" s="519">
        <f>'[45]Office Equipments'!$I$100</f>
        <v>752412</v>
      </c>
      <c r="F15" s="520">
        <f>'[45]Office Equipments'!J107</f>
        <v>0</v>
      </c>
      <c r="G15" s="519">
        <v>0</v>
      </c>
      <c r="H15" s="521">
        <f t="shared" si="0"/>
        <v>752412</v>
      </c>
      <c r="I15" s="521">
        <v>544943.02857417776</v>
      </c>
      <c r="J15" s="522">
        <f>'[45]Office Equipments'!T109</f>
        <v>3183</v>
      </c>
      <c r="K15" s="522"/>
      <c r="L15" s="521">
        <v>0</v>
      </c>
      <c r="M15" s="521">
        <f t="shared" si="1"/>
        <v>548126.02857417776</v>
      </c>
      <c r="N15" s="521">
        <f t="shared" si="2"/>
        <v>204285.97142582224</v>
      </c>
      <c r="O15" s="521">
        <f t="shared" si="3"/>
        <v>207468.97142582224</v>
      </c>
    </row>
    <row r="16" spans="1:15" hidden="1">
      <c r="A16" s="501"/>
      <c r="B16" s="501"/>
      <c r="C16" s="517">
        <v>6</v>
      </c>
      <c r="D16" s="518" t="s">
        <v>1753</v>
      </c>
      <c r="E16" s="519">
        <f>'[45]Furniture &amp; Fixtures'!I218</f>
        <v>1483465.5</v>
      </c>
      <c r="F16" s="520">
        <f>'[45]Furniture &amp; Fixtures'!J225</f>
        <v>0</v>
      </c>
      <c r="G16" s="519">
        <v>0</v>
      </c>
      <c r="H16" s="521">
        <f t="shared" si="0"/>
        <v>1483465.5</v>
      </c>
      <c r="I16" s="521">
        <v>911037.21440970805</v>
      </c>
      <c r="J16" s="522">
        <f>'[45]Furniture &amp; Fixtures'!T227</f>
        <v>29653</v>
      </c>
      <c r="K16" s="522"/>
      <c r="L16" s="521">
        <v>0</v>
      </c>
      <c r="M16" s="521">
        <f t="shared" si="1"/>
        <v>940690.21440970805</v>
      </c>
      <c r="N16" s="521">
        <f t="shared" si="2"/>
        <v>542775.28559029195</v>
      </c>
      <c r="O16" s="521">
        <f t="shared" si="3"/>
        <v>572428.28559029195</v>
      </c>
    </row>
    <row r="17" spans="1:15" hidden="1">
      <c r="A17" s="501"/>
      <c r="B17" s="501"/>
      <c r="C17" s="517">
        <v>7</v>
      </c>
      <c r="D17" s="518" t="s">
        <v>1754</v>
      </c>
      <c r="E17" s="519">
        <f>[45]Vehicle!$I$18</f>
        <v>1618086</v>
      </c>
      <c r="F17" s="520">
        <f>[45]Vehicle!J16</f>
        <v>0</v>
      </c>
      <c r="G17" s="519">
        <v>0</v>
      </c>
      <c r="H17" s="521">
        <f t="shared" si="0"/>
        <v>1618086</v>
      </c>
      <c r="I17" s="521">
        <v>313195.20804109587</v>
      </c>
      <c r="J17" s="522">
        <f>[45]Vehicle!T18</f>
        <v>199629</v>
      </c>
      <c r="K17" s="522"/>
      <c r="L17" s="521">
        <v>0</v>
      </c>
      <c r="M17" s="521">
        <f t="shared" si="1"/>
        <v>512824.20804109587</v>
      </c>
      <c r="N17" s="521">
        <f t="shared" si="2"/>
        <v>1105261.7919589041</v>
      </c>
      <c r="O17" s="521">
        <f t="shared" si="3"/>
        <v>1304890.7919589041</v>
      </c>
    </row>
    <row r="18" spans="1:15" hidden="1">
      <c r="A18" s="501"/>
      <c r="B18" s="501"/>
      <c r="C18" s="517"/>
      <c r="D18" s="523" t="s">
        <v>1755</v>
      </c>
      <c r="E18" s="524">
        <f>ROUND(SUM(E9:E17),0)</f>
        <v>232241276</v>
      </c>
      <c r="F18" s="525" t="e">
        <f>SUM(F9:F17)</f>
        <v>#REF!</v>
      </c>
      <c r="G18" s="524">
        <f t="shared" ref="G18:N18" si="4">ROUND(SUM(G9:G17),0)</f>
        <v>3323775</v>
      </c>
      <c r="H18" s="524" t="e">
        <f t="shared" si="4"/>
        <v>#REF!</v>
      </c>
      <c r="I18" s="524">
        <f t="shared" si="4"/>
        <v>47301214</v>
      </c>
      <c r="J18" s="525">
        <f t="shared" si="4"/>
        <v>13733086</v>
      </c>
      <c r="K18" s="525"/>
      <c r="L18" s="524">
        <f t="shared" si="4"/>
        <v>382118</v>
      </c>
      <c r="M18" s="524">
        <f t="shared" si="4"/>
        <v>60652182</v>
      </c>
      <c r="N18" s="524" t="e">
        <f t="shared" si="4"/>
        <v>#REF!</v>
      </c>
      <c r="O18" s="524">
        <f>ROUND(SUM(O9:O17),0)</f>
        <v>184940062</v>
      </c>
    </row>
    <row r="19" spans="1:15" hidden="1">
      <c r="A19" s="501"/>
      <c r="B19" s="501"/>
      <c r="C19" s="517"/>
      <c r="D19" s="523"/>
      <c r="E19" s="526"/>
      <c r="F19" s="527"/>
      <c r="G19" s="513"/>
      <c r="H19" s="513"/>
      <c r="I19" s="513"/>
      <c r="J19" s="515"/>
      <c r="K19" s="515"/>
      <c r="L19" s="513"/>
      <c r="M19" s="513"/>
      <c r="N19" s="513"/>
      <c r="O19" s="513"/>
    </row>
    <row r="20" spans="1:15" hidden="1">
      <c r="A20" s="501"/>
      <c r="B20" s="501"/>
      <c r="C20" s="517"/>
      <c r="D20" s="513" t="s">
        <v>1756</v>
      </c>
      <c r="E20" s="528"/>
      <c r="F20" s="520"/>
      <c r="G20" s="518"/>
      <c r="H20" s="518"/>
      <c r="I20" s="518"/>
      <c r="J20" s="522"/>
      <c r="K20" s="522"/>
      <c r="L20" s="518"/>
      <c r="M20" s="518"/>
      <c r="N20" s="518"/>
      <c r="O20" s="518"/>
    </row>
    <row r="21" spans="1:15" hidden="1">
      <c r="A21" s="501"/>
      <c r="B21" s="501"/>
      <c r="C21" s="517">
        <v>1</v>
      </c>
      <c r="D21" s="503" t="s">
        <v>1757</v>
      </c>
      <c r="E21" s="528">
        <v>0</v>
      </c>
      <c r="F21" s="520">
        <v>0</v>
      </c>
      <c r="G21" s="528">
        <v>0</v>
      </c>
      <c r="H21" s="518">
        <f t="shared" ref="H21:H22" si="5">+E21+F21-G21</f>
        <v>0</v>
      </c>
      <c r="I21" s="528">
        <v>0</v>
      </c>
      <c r="J21" s="520">
        <v>0</v>
      </c>
      <c r="K21" s="520"/>
      <c r="L21" s="528">
        <v>0</v>
      </c>
      <c r="M21" s="518">
        <f t="shared" ref="M21:M22" si="6">+I21+J21-L21</f>
        <v>0</v>
      </c>
      <c r="N21" s="518">
        <f t="shared" ref="N21:N22" si="7">+H21-M21</f>
        <v>0</v>
      </c>
      <c r="O21" s="528">
        <v>0</v>
      </c>
    </row>
    <row r="22" spans="1:15" hidden="1">
      <c r="A22" s="501"/>
      <c r="B22" s="501"/>
      <c r="C22" s="517">
        <v>2</v>
      </c>
      <c r="D22" s="503" t="s">
        <v>1758</v>
      </c>
      <c r="E22" s="528">
        <v>0</v>
      </c>
      <c r="F22" s="520">
        <v>0</v>
      </c>
      <c r="G22" s="528">
        <v>0</v>
      </c>
      <c r="H22" s="518">
        <f t="shared" si="5"/>
        <v>0</v>
      </c>
      <c r="I22" s="528">
        <v>0</v>
      </c>
      <c r="J22" s="520">
        <v>0</v>
      </c>
      <c r="K22" s="520"/>
      <c r="L22" s="528">
        <v>0</v>
      </c>
      <c r="M22" s="518">
        <f t="shared" si="6"/>
        <v>0</v>
      </c>
      <c r="N22" s="518">
        <f t="shared" si="7"/>
        <v>0</v>
      </c>
      <c r="O22" s="528">
        <v>0</v>
      </c>
    </row>
    <row r="23" spans="1:15" hidden="1">
      <c r="A23" s="501"/>
      <c r="B23" s="501"/>
      <c r="C23" s="529"/>
      <c r="D23" s="523" t="s">
        <v>1759</v>
      </c>
      <c r="E23" s="530">
        <f>ROUND(SUM(E20:E22),0)</f>
        <v>0</v>
      </c>
      <c r="F23" s="525">
        <f t="shared" ref="F23:O23" si="8">ROUND(SUM(F20:F22),0)</f>
        <v>0</v>
      </c>
      <c r="G23" s="530">
        <f t="shared" si="8"/>
        <v>0</v>
      </c>
      <c r="H23" s="530">
        <f t="shared" si="8"/>
        <v>0</v>
      </c>
      <c r="I23" s="530">
        <f t="shared" si="8"/>
        <v>0</v>
      </c>
      <c r="J23" s="525">
        <f t="shared" si="8"/>
        <v>0</v>
      </c>
      <c r="K23" s="525"/>
      <c r="L23" s="530">
        <f t="shared" si="8"/>
        <v>0</v>
      </c>
      <c r="M23" s="530">
        <f t="shared" si="8"/>
        <v>0</v>
      </c>
      <c r="N23" s="530">
        <f t="shared" si="8"/>
        <v>0</v>
      </c>
      <c r="O23" s="530">
        <f t="shared" si="8"/>
        <v>0</v>
      </c>
    </row>
    <row r="24" spans="1:15" hidden="1">
      <c r="A24" s="501"/>
      <c r="B24" s="501"/>
      <c r="C24" s="529"/>
      <c r="D24" s="503"/>
      <c r="E24" s="528"/>
      <c r="F24" s="520"/>
      <c r="G24" s="518"/>
      <c r="H24" s="518"/>
      <c r="I24" s="518"/>
      <c r="J24" s="522"/>
      <c r="K24" s="522"/>
      <c r="L24" s="518"/>
      <c r="M24" s="518"/>
      <c r="N24" s="518"/>
      <c r="O24" s="518"/>
    </row>
    <row r="25" spans="1:15" hidden="1">
      <c r="A25" s="501"/>
      <c r="B25" s="501"/>
      <c r="C25" s="529"/>
      <c r="D25" s="531" t="s">
        <v>1760</v>
      </c>
      <c r="E25" s="530">
        <v>232339055</v>
      </c>
      <c r="F25" s="525">
        <v>10978837</v>
      </c>
      <c r="G25" s="530">
        <v>3074675</v>
      </c>
      <c r="H25" s="530">
        <v>240243217</v>
      </c>
      <c r="I25" s="530">
        <v>47301214</v>
      </c>
      <c r="J25" s="525">
        <v>15860376</v>
      </c>
      <c r="K25" s="525"/>
      <c r="L25" s="530">
        <v>382118</v>
      </c>
      <c r="M25" s="530">
        <v>62779473</v>
      </c>
      <c r="N25" s="530">
        <v>177463744</v>
      </c>
      <c r="O25" s="530">
        <v>185037841</v>
      </c>
    </row>
    <row r="26" spans="1:15" hidden="1">
      <c r="A26" s="501"/>
      <c r="B26" s="501"/>
      <c r="C26" s="532" t="s">
        <v>749</v>
      </c>
      <c r="D26" s="533" t="s">
        <v>1761</v>
      </c>
      <c r="E26" s="534">
        <v>129059467</v>
      </c>
      <c r="F26" s="535">
        <v>106473210</v>
      </c>
      <c r="G26" s="534">
        <v>3193622</v>
      </c>
      <c r="H26" s="534">
        <v>232339055</v>
      </c>
      <c r="I26" s="534">
        <v>38479105</v>
      </c>
      <c r="J26" s="535">
        <v>10041580</v>
      </c>
      <c r="K26" s="535"/>
      <c r="L26" s="534">
        <v>1219472</v>
      </c>
      <c r="M26" s="534">
        <v>47301214</v>
      </c>
      <c r="N26" s="534">
        <v>185037841</v>
      </c>
      <c r="O26" s="530">
        <v>90580362</v>
      </c>
    </row>
    <row r="27" spans="1:15" hidden="1">
      <c r="A27" s="501"/>
      <c r="B27" s="501"/>
      <c r="C27" s="536"/>
      <c r="D27" s="507"/>
      <c r="E27" s="507"/>
      <c r="F27" s="537"/>
      <c r="G27" s="507"/>
      <c r="H27" s="507"/>
      <c r="I27" s="507"/>
      <c r="J27" s="537"/>
      <c r="K27" s="537"/>
      <c r="L27" s="507"/>
      <c r="M27" s="507"/>
      <c r="N27" s="507"/>
      <c r="O27" s="507"/>
    </row>
    <row r="28" spans="1:15" hidden="1">
      <c r="A28" s="501"/>
      <c r="B28" s="501"/>
      <c r="C28" s="536"/>
      <c r="D28" s="507"/>
      <c r="E28" s="507"/>
      <c r="F28" s="537"/>
      <c r="G28" s="507"/>
      <c r="H28" s="507"/>
      <c r="I28" s="507"/>
      <c r="J28" s="537"/>
      <c r="K28" s="537"/>
      <c r="L28" s="507"/>
      <c r="M28" s="507"/>
      <c r="N28" s="507"/>
      <c r="O28" s="507"/>
    </row>
    <row r="29" spans="1:15" hidden="1">
      <c r="A29" s="501"/>
      <c r="B29" s="501"/>
      <c r="C29" s="536"/>
      <c r="D29" s="507"/>
      <c r="E29" s="507"/>
      <c r="F29" s="537"/>
      <c r="G29" s="507"/>
      <c r="H29" s="507"/>
      <c r="I29" s="507"/>
      <c r="J29" s="537"/>
      <c r="K29" s="537"/>
      <c r="L29" s="507"/>
      <c r="M29" s="507"/>
      <c r="N29" s="507"/>
      <c r="O29" s="507"/>
    </row>
    <row r="30" spans="1:15" hidden="1">
      <c r="A30" s="501"/>
      <c r="B30" s="501"/>
      <c r="C30" s="536"/>
      <c r="D30" s="507"/>
      <c r="E30" s="507"/>
      <c r="F30" s="537"/>
      <c r="G30" s="507"/>
      <c r="H30" s="507"/>
      <c r="I30" s="507"/>
      <c r="J30" s="537"/>
      <c r="K30" s="537"/>
      <c r="L30" s="507"/>
      <c r="M30" s="507"/>
      <c r="N30" s="507"/>
      <c r="O30" s="507"/>
    </row>
    <row r="31" spans="1:15" hidden="1">
      <c r="A31" s="501"/>
      <c r="B31" s="501"/>
      <c r="C31" s="536" t="s">
        <v>1762</v>
      </c>
      <c r="D31" s="507"/>
      <c r="E31" s="507"/>
      <c r="F31" s="537"/>
      <c r="G31" s="507"/>
      <c r="H31" s="507"/>
      <c r="I31" s="507"/>
      <c r="J31" s="537"/>
      <c r="K31" s="537"/>
      <c r="L31" s="507"/>
      <c r="M31" s="507"/>
      <c r="N31" s="507"/>
      <c r="O31" s="507"/>
    </row>
    <row r="32" spans="1:15" ht="19.5" hidden="1">
      <c r="C32" s="502" t="s">
        <v>1259</v>
      </c>
      <c r="D32" s="538"/>
      <c r="E32" s="539"/>
      <c r="F32" s="540"/>
      <c r="G32" s="539"/>
      <c r="H32" s="539"/>
      <c r="I32" s="539"/>
      <c r="J32" s="540"/>
      <c r="K32" s="540"/>
      <c r="L32" s="539"/>
      <c r="M32" s="539"/>
      <c r="N32" s="539"/>
      <c r="O32" s="539"/>
    </row>
    <row r="33" spans="3:17" hidden="1">
      <c r="C33" s="506" t="s">
        <v>1736</v>
      </c>
      <c r="D33" s="538"/>
      <c r="E33" s="538"/>
      <c r="F33" s="540"/>
      <c r="G33" s="538"/>
      <c r="H33" s="538"/>
      <c r="I33" s="538"/>
      <c r="J33" s="540"/>
      <c r="K33" s="540"/>
      <c r="L33" s="538"/>
      <c r="M33" s="538"/>
      <c r="N33" s="538"/>
      <c r="O33" s="538"/>
    </row>
    <row r="34" spans="3:17" hidden="1">
      <c r="C34" s="506" t="e">
        <f>"NOTES ON FINANCIAL STATEMENT FOR THE YEAR ENDING  "&amp;UPPER(TEXT(#REF!,"DD, MMMM, YYYY"))</f>
        <v>#REF!</v>
      </c>
      <c r="D34" s="538"/>
      <c r="E34" s="538"/>
      <c r="F34" s="540"/>
      <c r="G34" s="538"/>
      <c r="H34" s="538"/>
      <c r="I34" s="538"/>
      <c r="J34" s="540"/>
      <c r="K34" s="540"/>
      <c r="L34" s="538"/>
      <c r="M34" s="538"/>
      <c r="N34" s="538"/>
      <c r="O34" s="538"/>
    </row>
    <row r="35" spans="3:17" ht="21.75" hidden="1" customHeight="1">
      <c r="C35" s="1512" t="s">
        <v>1739</v>
      </c>
      <c r="D35" s="1512" t="s">
        <v>546</v>
      </c>
      <c r="E35" s="1514" t="s">
        <v>1740</v>
      </c>
      <c r="F35" s="1515"/>
      <c r="G35" s="1515"/>
      <c r="H35" s="1516"/>
      <c r="I35" s="1514" t="s">
        <v>1741</v>
      </c>
      <c r="J35" s="1515"/>
      <c r="K35" s="1515"/>
      <c r="L35" s="1515"/>
      <c r="M35" s="1516"/>
      <c r="N35" s="1517" t="s">
        <v>1742</v>
      </c>
      <c r="O35" s="1518"/>
    </row>
    <row r="36" spans="3:17" ht="30" hidden="1">
      <c r="C36" s="1513"/>
      <c r="D36" s="1513"/>
      <c r="E36" s="510" t="s">
        <v>1763</v>
      </c>
      <c r="F36" s="511" t="s">
        <v>1744</v>
      </c>
      <c r="G36" s="510" t="s">
        <v>1745</v>
      </c>
      <c r="H36" s="510" t="s">
        <v>1764</v>
      </c>
      <c r="I36" s="510" t="s">
        <v>1763</v>
      </c>
      <c r="J36" s="511" t="s">
        <v>1747</v>
      </c>
      <c r="K36" s="511"/>
      <c r="L36" s="510" t="s">
        <v>1745</v>
      </c>
      <c r="M36" s="510" t="s">
        <v>1764</v>
      </c>
      <c r="N36" s="510" t="s">
        <v>1764</v>
      </c>
      <c r="O36" s="510" t="s">
        <v>1746</v>
      </c>
    </row>
    <row r="37" spans="3:17" hidden="1">
      <c r="C37" s="531"/>
      <c r="D37" s="530" t="s">
        <v>1749</v>
      </c>
      <c r="E37" s="541"/>
      <c r="F37" s="491"/>
      <c r="G37" s="541"/>
      <c r="H37" s="541"/>
      <c r="I37" s="541"/>
      <c r="J37" s="491"/>
      <c r="K37" s="491"/>
      <c r="L37" s="541"/>
      <c r="M37" s="541"/>
      <c r="N37" s="541"/>
      <c r="O37" s="541"/>
    </row>
    <row r="38" spans="3:17" hidden="1">
      <c r="C38" s="542">
        <v>1</v>
      </c>
      <c r="D38" s="543" t="s">
        <v>1750</v>
      </c>
      <c r="E38" s="544">
        <f>ROUND(H9,0)</f>
        <v>1156704</v>
      </c>
      <c r="F38" s="491">
        <f>[45]Land!J36</f>
        <v>0</v>
      </c>
      <c r="G38" s="544"/>
      <c r="H38" s="544">
        <f>E38+F38-G38</f>
        <v>1156704</v>
      </c>
      <c r="I38" s="544">
        <f>M9</f>
        <v>0</v>
      </c>
      <c r="J38" s="491">
        <v>0</v>
      </c>
      <c r="K38" s="491"/>
      <c r="L38" s="544"/>
      <c r="M38" s="544">
        <f>I38+J38-L38</f>
        <v>0</v>
      </c>
      <c r="N38" s="544">
        <f>H38-M38</f>
        <v>1156704</v>
      </c>
      <c r="O38" s="544">
        <f>E38-I38</f>
        <v>1156704</v>
      </c>
      <c r="Q38" s="545"/>
    </row>
    <row r="39" spans="3:17" hidden="1">
      <c r="C39" s="542">
        <v>2</v>
      </c>
      <c r="D39" s="543" t="s">
        <v>1751</v>
      </c>
      <c r="E39" s="544" t="e">
        <f t="shared" ref="E39:E46" si="9">ROUND(H10,0)</f>
        <v>#REF!</v>
      </c>
      <c r="F39" s="491">
        <f>'[45]Building Other'!J2281</f>
        <v>0</v>
      </c>
      <c r="G39" s="544"/>
      <c r="H39" s="544" t="e">
        <f t="shared" ref="H39:H46" si="10">E39+F39-G39</f>
        <v>#REF!</v>
      </c>
      <c r="I39" s="544">
        <f>ROUND(M10,0)</f>
        <v>4632995</v>
      </c>
      <c r="J39" s="491" t="e">
        <f>'[45]Building Other'!#REF!</f>
        <v>#REF!</v>
      </c>
      <c r="K39" s="491"/>
      <c r="L39" s="544"/>
      <c r="M39" s="544" t="e">
        <f t="shared" ref="M39:M46" si="11">I39+J39-L39</f>
        <v>#REF!</v>
      </c>
      <c r="N39" s="544" t="e">
        <f t="shared" ref="N39:N46" si="12">H39-M39</f>
        <v>#REF!</v>
      </c>
      <c r="O39" s="544" t="e">
        <f t="shared" ref="O39:O46" si="13">E39-I39</f>
        <v>#REF!</v>
      </c>
    </row>
    <row r="40" spans="3:17" hidden="1">
      <c r="C40" s="542">
        <v>3</v>
      </c>
      <c r="D40" s="543" t="s">
        <v>1752</v>
      </c>
      <c r="E40" s="544">
        <f t="shared" si="9"/>
        <v>12311201</v>
      </c>
      <c r="F40" s="491">
        <f>'[45]Factory Building '!J441</f>
        <v>0</v>
      </c>
      <c r="G40" s="544"/>
      <c r="H40" s="544">
        <f t="shared" si="10"/>
        <v>12311201</v>
      </c>
      <c r="I40" s="544">
        <f t="shared" ref="I40:I46" si="14">ROUND(M11,0)</f>
        <v>4997633</v>
      </c>
      <c r="J40" s="491" t="e">
        <f>'[45]Factory Building '!#REF!</f>
        <v>#REF!</v>
      </c>
      <c r="K40" s="491"/>
      <c r="L40" s="544"/>
      <c r="M40" s="544" t="e">
        <f t="shared" si="11"/>
        <v>#REF!</v>
      </c>
      <c r="N40" s="544" t="e">
        <f t="shared" si="12"/>
        <v>#REF!</v>
      </c>
      <c r="O40" s="544">
        <f t="shared" si="13"/>
        <v>7313568</v>
      </c>
    </row>
    <row r="41" spans="3:17" hidden="1">
      <c r="C41" s="542">
        <v>4</v>
      </c>
      <c r="D41" s="543" t="s">
        <v>261</v>
      </c>
      <c r="E41" s="544">
        <v>173926145</v>
      </c>
      <c r="F41" s="491">
        <f>'[45]Plant &amp; Machinery'!J2369</f>
        <v>0</v>
      </c>
      <c r="G41" s="544">
        <f>'[45]Plant &amp; Machinery'!K2369</f>
        <v>0</v>
      </c>
      <c r="H41" s="544">
        <f t="shared" si="10"/>
        <v>173926145</v>
      </c>
      <c r="I41" s="544">
        <f t="shared" si="14"/>
        <v>41636245</v>
      </c>
      <c r="J41" s="491" t="e">
        <f>'[45]Plant &amp; Machinery'!#REF!</f>
        <v>#REF!</v>
      </c>
      <c r="K41" s="491"/>
      <c r="L41" s="544" t="e">
        <f>'[45]Plant &amp; Machinery'!#REF!</f>
        <v>#REF!</v>
      </c>
      <c r="M41" s="544" t="e">
        <f t="shared" si="11"/>
        <v>#REF!</v>
      </c>
      <c r="N41" s="544" t="e">
        <f t="shared" si="12"/>
        <v>#REF!</v>
      </c>
      <c r="O41" s="544">
        <f t="shared" si="13"/>
        <v>132289900</v>
      </c>
    </row>
    <row r="42" spans="3:17" hidden="1">
      <c r="C42" s="542">
        <v>5</v>
      </c>
      <c r="D42" s="543" t="s">
        <v>113</v>
      </c>
      <c r="E42" s="544">
        <f t="shared" si="9"/>
        <v>23019492</v>
      </c>
      <c r="F42" s="491">
        <f>'[45]Electrical Installation'!J542</f>
        <v>0</v>
      </c>
      <c r="G42" s="544"/>
      <c r="H42" s="544">
        <f t="shared" si="10"/>
        <v>23019492</v>
      </c>
      <c r="I42" s="544">
        <f t="shared" si="14"/>
        <v>6747927</v>
      </c>
      <c r="J42" s="491" t="e">
        <f>'[45]Electrical Installation'!#REF!</f>
        <v>#REF!</v>
      </c>
      <c r="K42" s="491"/>
      <c r="L42" s="544"/>
      <c r="M42" s="544" t="e">
        <f t="shared" si="11"/>
        <v>#REF!</v>
      </c>
      <c r="N42" s="544" t="e">
        <f t="shared" si="12"/>
        <v>#REF!</v>
      </c>
      <c r="O42" s="544">
        <f t="shared" si="13"/>
        <v>16271565</v>
      </c>
    </row>
    <row r="43" spans="3:17" hidden="1">
      <c r="C43" s="542">
        <v>6</v>
      </c>
      <c r="D43" s="543" t="s">
        <v>76</v>
      </c>
      <c r="E43" s="544">
        <f t="shared" si="9"/>
        <v>793799</v>
      </c>
      <c r="F43" s="491">
        <f>[45]Computer!J94</f>
        <v>0</v>
      </c>
      <c r="G43" s="544"/>
      <c r="H43" s="544">
        <f t="shared" si="10"/>
        <v>793799</v>
      </c>
      <c r="I43" s="544">
        <f t="shared" si="14"/>
        <v>635741</v>
      </c>
      <c r="J43" s="491" t="e">
        <f>[45]Computer!#REF!</f>
        <v>#REF!</v>
      </c>
      <c r="K43" s="491"/>
      <c r="L43" s="544"/>
      <c r="M43" s="544" t="e">
        <f t="shared" si="11"/>
        <v>#REF!</v>
      </c>
      <c r="N43" s="544" t="e">
        <f t="shared" si="12"/>
        <v>#REF!</v>
      </c>
      <c r="O43" s="544">
        <f t="shared" si="13"/>
        <v>158058</v>
      </c>
    </row>
    <row r="44" spans="3:17" hidden="1">
      <c r="C44" s="542">
        <v>7</v>
      </c>
      <c r="D44" s="543" t="s">
        <v>238</v>
      </c>
      <c r="E44" s="544">
        <f t="shared" si="9"/>
        <v>752412</v>
      </c>
      <c r="F44" s="491">
        <f>'[45]Office Equipments'!J115</f>
        <v>0</v>
      </c>
      <c r="G44" s="544"/>
      <c r="H44" s="544">
        <f t="shared" si="10"/>
        <v>752412</v>
      </c>
      <c r="I44" s="544">
        <f t="shared" si="14"/>
        <v>548126</v>
      </c>
      <c r="J44" s="491" t="e">
        <f>'[45]Office Equipments'!#REF!</f>
        <v>#REF!</v>
      </c>
      <c r="K44" s="491"/>
      <c r="L44" s="544"/>
      <c r="M44" s="544" t="e">
        <f t="shared" si="11"/>
        <v>#REF!</v>
      </c>
      <c r="N44" s="544" t="e">
        <f t="shared" si="12"/>
        <v>#REF!</v>
      </c>
      <c r="O44" s="544">
        <f t="shared" si="13"/>
        <v>204286</v>
      </c>
    </row>
    <row r="45" spans="3:17" ht="27" hidden="1" customHeight="1">
      <c r="C45" s="542">
        <v>8</v>
      </c>
      <c r="D45" s="543" t="s">
        <v>1753</v>
      </c>
      <c r="E45" s="544">
        <f t="shared" si="9"/>
        <v>1483466</v>
      </c>
      <c r="F45" s="491">
        <v>0</v>
      </c>
      <c r="G45" s="544"/>
      <c r="H45" s="544">
        <f t="shared" si="10"/>
        <v>1483466</v>
      </c>
      <c r="I45" s="544">
        <f t="shared" si="14"/>
        <v>940690</v>
      </c>
      <c r="J45" s="491" t="e">
        <f>'[45]Furniture &amp; Fixtures'!#REF!</f>
        <v>#REF!</v>
      </c>
      <c r="K45" s="491"/>
      <c r="L45" s="544"/>
      <c r="M45" s="544" t="e">
        <f t="shared" si="11"/>
        <v>#REF!</v>
      </c>
      <c r="N45" s="544" t="e">
        <f t="shared" si="12"/>
        <v>#REF!</v>
      </c>
      <c r="O45" s="544">
        <f t="shared" si="13"/>
        <v>542776</v>
      </c>
    </row>
    <row r="46" spans="3:17" ht="18" hidden="1" customHeight="1">
      <c r="C46" s="542">
        <v>9</v>
      </c>
      <c r="D46" s="543" t="s">
        <v>1754</v>
      </c>
      <c r="E46" s="544">
        <f t="shared" si="9"/>
        <v>1618086</v>
      </c>
      <c r="F46" s="491">
        <v>0</v>
      </c>
      <c r="G46" s="544"/>
      <c r="H46" s="544">
        <f t="shared" si="10"/>
        <v>1618086</v>
      </c>
      <c r="I46" s="544">
        <f t="shared" si="14"/>
        <v>512824</v>
      </c>
      <c r="J46" s="491" t="e">
        <f>[45]Vehicle!#REF!</f>
        <v>#REF!</v>
      </c>
      <c r="K46" s="491"/>
      <c r="L46" s="544"/>
      <c r="M46" s="544" t="e">
        <f t="shared" si="11"/>
        <v>#REF!</v>
      </c>
      <c r="N46" s="544" t="e">
        <f t="shared" si="12"/>
        <v>#REF!</v>
      </c>
      <c r="O46" s="544">
        <f t="shared" si="13"/>
        <v>1105262</v>
      </c>
    </row>
    <row r="47" spans="3:17" ht="15" hidden="1" customHeight="1">
      <c r="C47" s="542"/>
      <c r="D47" s="531" t="s">
        <v>1755</v>
      </c>
      <c r="E47" s="524" t="e">
        <f>SUM(E38:E46)</f>
        <v>#REF!</v>
      </c>
      <c r="F47" s="525">
        <f t="shared" ref="F47:J47" si="15">SUM(F38:F46)</f>
        <v>0</v>
      </c>
      <c r="G47" s="524">
        <f t="shared" si="15"/>
        <v>0</v>
      </c>
      <c r="H47" s="524" t="e">
        <f t="shared" si="15"/>
        <v>#REF!</v>
      </c>
      <c r="I47" s="524">
        <f t="shared" si="15"/>
        <v>60652181</v>
      </c>
      <c r="J47" s="525" t="e">
        <f t="shared" si="15"/>
        <v>#REF!</v>
      </c>
      <c r="K47" s="525"/>
      <c r="L47" s="524" t="e">
        <f t="shared" ref="L47:O47" si="16">SUM(L38:L46)</f>
        <v>#REF!</v>
      </c>
      <c r="M47" s="524" t="e">
        <f t="shared" si="16"/>
        <v>#REF!</v>
      </c>
      <c r="N47" s="524" t="e">
        <f t="shared" si="16"/>
        <v>#REF!</v>
      </c>
      <c r="O47" s="524" t="e">
        <f t="shared" si="16"/>
        <v>#REF!</v>
      </c>
    </row>
    <row r="48" spans="3:17" ht="20.25" hidden="1" customHeight="1"/>
    <row r="49" spans="1:16" ht="19.5" hidden="1" customHeight="1"/>
    <row r="50" spans="1:16" ht="15.75" hidden="1" customHeight="1">
      <c r="C50" s="499">
        <v>1</v>
      </c>
      <c r="D50" s="546" t="s">
        <v>1765</v>
      </c>
    </row>
    <row r="51" spans="1:16" ht="18.75" hidden="1" customHeight="1">
      <c r="C51" s="499">
        <v>2</v>
      </c>
      <c r="D51" s="546" t="s">
        <v>1766</v>
      </c>
    </row>
    <row r="52" spans="1:16" ht="15" hidden="1" customHeight="1">
      <c r="C52" s="499">
        <v>3</v>
      </c>
      <c r="D52" s="546" t="s">
        <v>1767</v>
      </c>
    </row>
    <row r="53" spans="1:16" ht="20.25" hidden="1" customHeight="1"/>
    <row r="54" spans="1:16" ht="13.5" customHeight="1">
      <c r="H54" s="547">
        <v>43921</v>
      </c>
    </row>
    <row r="55" spans="1:16" ht="15.75" customHeight="1">
      <c r="A55" s="501"/>
      <c r="B55" s="501"/>
      <c r="C55" s="536"/>
      <c r="D55" s="507"/>
      <c r="E55" s="507"/>
      <c r="F55" s="537"/>
      <c r="G55" s="507"/>
      <c r="H55" s="507"/>
      <c r="I55" s="507"/>
      <c r="J55" s="537"/>
      <c r="K55" s="537"/>
      <c r="L55" s="507"/>
      <c r="M55" s="507"/>
      <c r="N55" s="507"/>
      <c r="O55" s="507"/>
    </row>
    <row r="56" spans="1:16" ht="19.5">
      <c r="C56" s="1207" t="s">
        <v>1259</v>
      </c>
      <c r="D56" s="1208"/>
      <c r="E56" s="1209"/>
      <c r="F56" s="1210"/>
      <c r="G56" s="1209"/>
      <c r="H56" s="1209"/>
      <c r="I56" s="1209"/>
      <c r="J56" s="1210"/>
      <c r="K56" s="1210"/>
      <c r="L56" s="1209"/>
      <c r="M56" s="1209"/>
      <c r="N56" s="1211"/>
      <c r="O56" s="539"/>
    </row>
    <row r="57" spans="1:16">
      <c r="C57" s="1212" t="s">
        <v>1805</v>
      </c>
      <c r="D57" s="1213"/>
      <c r="E57" s="1213"/>
      <c r="F57" s="1214"/>
      <c r="G57" s="1213"/>
      <c r="H57" s="1213"/>
      <c r="I57" s="1213"/>
      <c r="J57" s="1214"/>
      <c r="K57" s="1214"/>
      <c r="L57" s="1213"/>
      <c r="M57" s="1213"/>
      <c r="N57" s="1215"/>
      <c r="O57" s="538"/>
    </row>
    <row r="58" spans="1:16">
      <c r="C58" s="1212" t="str">
        <f>"NOTES ON FINANCIAL STATEMENT FOR THE YEAR ENDING  "&amp;UPPER(TEXT(H54,"DD, MMMM, YYYY"))</f>
        <v>NOTES ON FINANCIAL STATEMENT FOR THE YEAR ENDING  31, MARCH, 2020</v>
      </c>
      <c r="D58" s="1213"/>
      <c r="E58" s="1213"/>
      <c r="F58" s="1214"/>
      <c r="G58" s="1213"/>
      <c r="H58" s="1216"/>
      <c r="I58" s="1213"/>
      <c r="J58" s="1214"/>
      <c r="K58" s="1214"/>
      <c r="L58" s="1213"/>
      <c r="M58" s="1213"/>
      <c r="N58" s="1217"/>
      <c r="O58" s="538"/>
    </row>
    <row r="59" spans="1:16" ht="21.75" customHeight="1">
      <c r="C59" s="1525" t="s">
        <v>1739</v>
      </c>
      <c r="D59" s="1521" t="s">
        <v>546</v>
      </c>
      <c r="E59" s="1523" t="s">
        <v>1740</v>
      </c>
      <c r="F59" s="1523"/>
      <c r="G59" s="1523"/>
      <c r="H59" s="1523"/>
      <c r="I59" s="1524" t="s">
        <v>1741</v>
      </c>
      <c r="J59" s="1524"/>
      <c r="K59" s="1524"/>
      <c r="L59" s="1524"/>
      <c r="M59" s="1524"/>
      <c r="N59" s="1198" t="s">
        <v>1742</v>
      </c>
    </row>
    <row r="60" spans="1:16" ht="60">
      <c r="C60" s="1526"/>
      <c r="D60" s="1522"/>
      <c r="E60" s="1185" t="s">
        <v>1768</v>
      </c>
      <c r="F60" s="724" t="s">
        <v>1769</v>
      </c>
      <c r="G60" s="1185" t="s">
        <v>1745</v>
      </c>
      <c r="H60" s="722" t="str">
        <f>"As On "&amp;TEXT($H$54,"DD.MM.YYYY")</f>
        <v>As On 31.03.2020</v>
      </c>
      <c r="I60" s="1186" t="s">
        <v>1768</v>
      </c>
      <c r="J60" s="723" t="s">
        <v>1747</v>
      </c>
      <c r="K60" s="723" t="s">
        <v>1770</v>
      </c>
      <c r="L60" s="1186" t="s">
        <v>1745</v>
      </c>
      <c r="M60" s="722" t="str">
        <f>"As On "&amp;TEXT($H$54,"DD.MM.YYYY")</f>
        <v>As On 31.03.2020</v>
      </c>
      <c r="N60" s="722" t="str">
        <f>"As On "&amp;TEXT($H$54,"DD.MM.YYYY")</f>
        <v>As On 31.03.2020</v>
      </c>
    </row>
    <row r="61" spans="1:16">
      <c r="C61" s="1239" t="s">
        <v>756</v>
      </c>
      <c r="D61" s="1240" t="s">
        <v>1749</v>
      </c>
      <c r="E61" s="1241"/>
      <c r="F61" s="1242"/>
      <c r="G61" s="1241"/>
      <c r="H61" s="1241"/>
      <c r="I61" s="1241"/>
      <c r="J61" s="1243"/>
      <c r="K61" s="1242"/>
      <c r="L61" s="1241"/>
      <c r="M61" s="1241"/>
      <c r="N61" s="1241"/>
    </row>
    <row r="62" spans="1:16">
      <c r="C62" s="517">
        <v>1</v>
      </c>
      <c r="D62" s="528" t="s">
        <v>133</v>
      </c>
      <c r="E62" s="520">
        <f>[45]Land!I36</f>
        <v>33965000</v>
      </c>
      <c r="F62" s="520">
        <f>[45]Land!J36</f>
        <v>0</v>
      </c>
      <c r="G62" s="520">
        <v>0</v>
      </c>
      <c r="H62" s="520">
        <f>E62+F62-G62</f>
        <v>33965000</v>
      </c>
      <c r="I62" s="520">
        <v>0</v>
      </c>
      <c r="J62" s="520">
        <v>0</v>
      </c>
      <c r="K62" s="520">
        <v>0</v>
      </c>
      <c r="L62" s="520">
        <v>0</v>
      </c>
      <c r="M62" s="520">
        <f>I62+J62-L62</f>
        <v>0</v>
      </c>
      <c r="N62" s="520">
        <f>H62-M62</f>
        <v>33965000</v>
      </c>
      <c r="P62" s="545"/>
    </row>
    <row r="63" spans="1:16">
      <c r="C63" s="517">
        <v>2</v>
      </c>
      <c r="D63" s="528" t="s">
        <v>1772</v>
      </c>
      <c r="E63" s="520">
        <f>'[45]Factory Building '!I664</f>
        <v>55036932.399999999</v>
      </c>
      <c r="F63" s="520">
        <f>+'[45]Factory Building '!J657</f>
        <v>979271.15</v>
      </c>
      <c r="G63" s="520">
        <f>'[45]Factory Building '!K663</f>
        <v>0</v>
      </c>
      <c r="H63" s="520">
        <f t="shared" ref="H63:H69" si="17">E63+F63-G63</f>
        <v>56016203.549999997</v>
      </c>
      <c r="I63" s="520">
        <v>1957557</v>
      </c>
      <c r="J63" s="520">
        <f>'[45]Factory Building '!V654-K63</f>
        <v>1169970</v>
      </c>
      <c r="K63" s="520">
        <f>+'[45]Factory Building '!V482</f>
        <v>573181</v>
      </c>
      <c r="L63" s="520">
        <v>0</v>
      </c>
      <c r="M63" s="520">
        <f>I63+J63-L63+K63</f>
        <v>3700708</v>
      </c>
      <c r="N63" s="520">
        <f t="shared" ref="N63:N69" si="18">H63-M63</f>
        <v>52315495.549999997</v>
      </c>
      <c r="P63" s="545"/>
    </row>
    <row r="64" spans="1:16">
      <c r="C64" s="517">
        <v>3</v>
      </c>
      <c r="D64" s="528" t="s">
        <v>261</v>
      </c>
      <c r="E64" s="520">
        <f>+'[45]Plant &amp; Machinery'!L2510</f>
        <v>213053551.07955781</v>
      </c>
      <c r="F64" s="1244">
        <f>+'[45]Plant &amp; Machinery'!J2542</f>
        <v>4240543.1899999995</v>
      </c>
      <c r="G64" s="520">
        <f>'[45]Plant &amp; Machinery'!K2576</f>
        <v>0</v>
      </c>
      <c r="H64" s="520">
        <f t="shared" si="17"/>
        <v>217294094.2695578</v>
      </c>
      <c r="I64" s="520">
        <v>79329687</v>
      </c>
      <c r="J64" s="520">
        <f>+'[45]Plant &amp; Machinery'!V2543</f>
        <v>13101740</v>
      </c>
      <c r="K64" s="520">
        <v>0</v>
      </c>
      <c r="L64" s="520">
        <v>0</v>
      </c>
      <c r="M64" s="520">
        <f t="shared" ref="M64:M69" si="19">I64+J64-L64-K64</f>
        <v>92431427</v>
      </c>
      <c r="N64" s="520">
        <f t="shared" si="18"/>
        <v>124862667.2695578</v>
      </c>
    </row>
    <row r="65" spans="2:16">
      <c r="C65" s="517">
        <v>4</v>
      </c>
      <c r="D65" s="528" t="s">
        <v>113</v>
      </c>
      <c r="E65" s="520">
        <f>+'[45]Electrical Installation'!L562+1</f>
        <v>26949655.060311563</v>
      </c>
      <c r="F65" s="520">
        <f>+'[45]Electrical Installation'!J578+0.36</f>
        <v>1557480.9800000002</v>
      </c>
      <c r="G65" s="520">
        <f>'[45]Electrical Installation'!K578</f>
        <v>0</v>
      </c>
      <c r="H65" s="520">
        <f>E65+F65-G65</f>
        <v>28507136.040311564</v>
      </c>
      <c r="I65" s="520">
        <v>14761635</v>
      </c>
      <c r="J65" s="520">
        <f>+'[45]Electrical Installation'!V579</f>
        <v>1885458</v>
      </c>
      <c r="K65" s="520">
        <v>0</v>
      </c>
      <c r="L65" s="520">
        <v>0</v>
      </c>
      <c r="M65" s="520">
        <f t="shared" si="19"/>
        <v>16647093</v>
      </c>
      <c r="N65" s="520">
        <f t="shared" si="18"/>
        <v>11860043.040311564</v>
      </c>
    </row>
    <row r="66" spans="2:16">
      <c r="C66" s="517">
        <v>5</v>
      </c>
      <c r="D66" s="528" t="s">
        <v>76</v>
      </c>
      <c r="E66" s="520">
        <f>+[45]Computer!L111</f>
        <v>1057200.7</v>
      </c>
      <c r="F66" s="520">
        <v>0</v>
      </c>
      <c r="G66" s="520">
        <v>0</v>
      </c>
      <c r="H66" s="520">
        <f t="shared" si="17"/>
        <v>1057200.7</v>
      </c>
      <c r="I66" s="520">
        <v>846428</v>
      </c>
      <c r="J66" s="520">
        <f>[45]Computer!V111</f>
        <v>92736</v>
      </c>
      <c r="K66" s="520">
        <v>0</v>
      </c>
      <c r="L66" s="520">
        <v>0</v>
      </c>
      <c r="M66" s="520">
        <f t="shared" si="19"/>
        <v>939164</v>
      </c>
      <c r="N66" s="520">
        <f t="shared" si="18"/>
        <v>118036.69999999995</v>
      </c>
    </row>
    <row r="67" spans="2:16">
      <c r="C67" s="517">
        <v>6</v>
      </c>
      <c r="D67" s="528" t="s">
        <v>238</v>
      </c>
      <c r="E67" s="520">
        <f>+'[45]Office Equipments'!L130</f>
        <v>850872.03</v>
      </c>
      <c r="F67" s="520">
        <f>'[45]Office Equipments'!J132</f>
        <v>33203.129999999997</v>
      </c>
      <c r="G67" s="520">
        <v>0</v>
      </c>
      <c r="H67" s="520">
        <f t="shared" si="17"/>
        <v>884075.16</v>
      </c>
      <c r="I67" s="520">
        <v>729742</v>
      </c>
      <c r="J67" s="520">
        <f>'[45]Office Equipments'!V136</f>
        <v>24077</v>
      </c>
      <c r="K67" s="520">
        <v>0</v>
      </c>
      <c r="L67" s="520">
        <v>0</v>
      </c>
      <c r="M67" s="520">
        <f>I67+J67-L67-K67</f>
        <v>753819</v>
      </c>
      <c r="N67" s="520">
        <f t="shared" si="18"/>
        <v>130256.16000000003</v>
      </c>
    </row>
    <row r="68" spans="2:16">
      <c r="C68" s="517">
        <v>7</v>
      </c>
      <c r="D68" s="528" t="s">
        <v>1753</v>
      </c>
      <c r="E68" s="520">
        <f>+'[45]Furniture &amp; Fixtures'!L250</f>
        <v>1820294.5</v>
      </c>
      <c r="F68" s="520">
        <v>0</v>
      </c>
      <c r="G68" s="520">
        <v>0</v>
      </c>
      <c r="H68" s="520">
        <f t="shared" si="17"/>
        <v>1820294.5</v>
      </c>
      <c r="I68" s="520">
        <v>1420188</v>
      </c>
      <c r="J68" s="520">
        <f>'[45]Furniture &amp; Fixtures'!V250</f>
        <v>57979</v>
      </c>
      <c r="K68" s="520"/>
      <c r="L68" s="520"/>
      <c r="M68" s="520">
        <f t="shared" si="19"/>
        <v>1478167</v>
      </c>
      <c r="N68" s="520">
        <f t="shared" si="18"/>
        <v>342127.5</v>
      </c>
    </row>
    <row r="69" spans="2:16">
      <c r="C69" s="1245">
        <v>8</v>
      </c>
      <c r="D69" s="1246" t="s">
        <v>1754</v>
      </c>
      <c r="E69" s="1247">
        <f>+[45]Vehicle123!I20+1</f>
        <v>1961725</v>
      </c>
      <c r="F69" s="1247">
        <f>+[45]Vehicle123!L19</f>
        <v>2647473</v>
      </c>
      <c r="G69" s="1247">
        <f>+[45]Vehicle123!K16</f>
        <v>1618086</v>
      </c>
      <c r="H69" s="1247">
        <f t="shared" si="17"/>
        <v>2991112</v>
      </c>
      <c r="I69" s="1247">
        <v>1238122</v>
      </c>
      <c r="J69" s="1247">
        <f>+[45]Vehicle123!V20</f>
        <v>287798</v>
      </c>
      <c r="K69" s="1247"/>
      <c r="L69" s="1247">
        <f>+'[45]Sale of Vehicle'!C11+'[45]Sale of Vehicle'!C13</f>
        <v>1336349</v>
      </c>
      <c r="M69" s="1247">
        <f t="shared" si="19"/>
        <v>189571</v>
      </c>
      <c r="N69" s="1247">
        <f t="shared" si="18"/>
        <v>2801541</v>
      </c>
    </row>
    <row r="70" spans="2:16">
      <c r="C70" s="706"/>
      <c r="D70" s="1221" t="s">
        <v>1755</v>
      </c>
      <c r="E70" s="1222">
        <f>+SUM(E62:E69)</f>
        <v>334695230.76986933</v>
      </c>
      <c r="F70" s="1222">
        <f t="shared" ref="F70:N70" si="20">+SUM(F62:F69)</f>
        <v>9457971.4499999993</v>
      </c>
      <c r="G70" s="1222">
        <f t="shared" si="20"/>
        <v>1618086</v>
      </c>
      <c r="H70" s="1222">
        <f t="shared" si="20"/>
        <v>342535116.21986938</v>
      </c>
      <c r="I70" s="1222">
        <f t="shared" si="20"/>
        <v>100283359</v>
      </c>
      <c r="J70" s="1222">
        <f t="shared" si="20"/>
        <v>16619758</v>
      </c>
      <c r="K70" s="1222">
        <f t="shared" si="20"/>
        <v>573181</v>
      </c>
      <c r="L70" s="1222">
        <f t="shared" si="20"/>
        <v>1336349</v>
      </c>
      <c r="M70" s="1222">
        <f t="shared" si="20"/>
        <v>116139949</v>
      </c>
      <c r="N70" s="1222">
        <f t="shared" si="20"/>
        <v>226395167.21986935</v>
      </c>
    </row>
    <row r="71" spans="2:16">
      <c r="C71" s="706"/>
      <c r="D71" s="1220"/>
      <c r="E71" s="1219"/>
      <c r="F71" s="1219"/>
      <c r="G71" s="1219"/>
      <c r="H71" s="1219"/>
      <c r="I71" s="1219"/>
      <c r="J71" s="1219"/>
      <c r="K71" s="1219"/>
      <c r="L71" s="1219"/>
      <c r="M71" s="1219"/>
      <c r="N71" s="1223">
        <f>SUM(N62:N69)</f>
        <v>226395167.21986935</v>
      </c>
    </row>
    <row r="72" spans="2:16" ht="17.25">
      <c r="C72" s="1218" t="s">
        <v>758</v>
      </c>
      <c r="D72" s="1224" t="s">
        <v>1784</v>
      </c>
      <c r="E72" s="1225"/>
      <c r="F72" s="1226"/>
      <c r="G72" s="1227"/>
      <c r="H72" s="1228"/>
      <c r="I72" s="1227"/>
      <c r="J72" s="1227"/>
      <c r="K72" s="1227"/>
      <c r="L72" s="1227"/>
      <c r="M72" s="1228"/>
      <c r="N72" s="1227"/>
      <c r="O72" s="548"/>
      <c r="P72" s="549"/>
    </row>
    <row r="73" spans="2:16">
      <c r="C73" s="1248">
        <v>1</v>
      </c>
      <c r="D73" s="1249" t="s">
        <v>1785</v>
      </c>
      <c r="E73" s="1346">
        <v>0</v>
      </c>
      <c r="F73" s="1250">
        <v>1151831</v>
      </c>
      <c r="G73" s="1250">
        <v>979271.15</v>
      </c>
      <c r="H73" s="520">
        <f t="shared" ref="H73:H74" si="21">E73+F73-G73</f>
        <v>172559.84999999998</v>
      </c>
      <c r="I73" s="1250">
        <v>0</v>
      </c>
      <c r="J73" s="1250">
        <v>0</v>
      </c>
      <c r="K73" s="1250">
        <v>0</v>
      </c>
      <c r="L73" s="1250">
        <v>0</v>
      </c>
      <c r="M73" s="1250">
        <v>0</v>
      </c>
      <c r="N73" s="520">
        <f t="shared" ref="N73:N74" si="22">H73-M73</f>
        <v>172559.84999999998</v>
      </c>
      <c r="O73" s="548"/>
      <c r="P73" s="549"/>
    </row>
    <row r="74" spans="2:16">
      <c r="C74" s="1245">
        <v>2</v>
      </c>
      <c r="D74" s="1246" t="s">
        <v>1786</v>
      </c>
      <c r="E74" s="1251">
        <v>484789</v>
      </c>
      <c r="F74" s="1252">
        <f>3991804-6131</f>
        <v>3985673</v>
      </c>
      <c r="G74" s="1252">
        <f>4240543.19</f>
        <v>4240543.1900000004</v>
      </c>
      <c r="H74" s="520">
        <f t="shared" si="21"/>
        <v>229918.80999999959</v>
      </c>
      <c r="I74" s="1252">
        <v>0</v>
      </c>
      <c r="J74" s="1252">
        <v>0</v>
      </c>
      <c r="K74" s="1252">
        <v>0</v>
      </c>
      <c r="L74" s="1252">
        <v>0</v>
      </c>
      <c r="M74" s="1252">
        <v>0</v>
      </c>
      <c r="N74" s="520">
        <f t="shared" si="22"/>
        <v>229918.80999999959</v>
      </c>
      <c r="O74" s="548"/>
      <c r="P74" s="549"/>
    </row>
    <row r="75" spans="2:16">
      <c r="C75" s="706"/>
      <c r="D75" s="1221" t="s">
        <v>1759</v>
      </c>
      <c r="E75" s="1197">
        <f>+SUM(E73:E74)</f>
        <v>484789</v>
      </c>
      <c r="F75" s="1197">
        <f t="shared" ref="F75:N75" si="23">+SUM(F73:F74)</f>
        <v>5137504</v>
      </c>
      <c r="G75" s="1197">
        <f t="shared" si="23"/>
        <v>5219814.3400000008</v>
      </c>
      <c r="H75" s="1197">
        <f t="shared" si="23"/>
        <v>402478.65999999957</v>
      </c>
      <c r="I75" s="1197">
        <f t="shared" si="23"/>
        <v>0</v>
      </c>
      <c r="J75" s="1197">
        <f t="shared" si="23"/>
        <v>0</v>
      </c>
      <c r="K75" s="1197">
        <f t="shared" si="23"/>
        <v>0</v>
      </c>
      <c r="L75" s="1197">
        <f t="shared" si="23"/>
        <v>0</v>
      </c>
      <c r="M75" s="1197">
        <f t="shared" si="23"/>
        <v>0</v>
      </c>
      <c r="N75" s="1197">
        <f t="shared" si="23"/>
        <v>402478.65999999957</v>
      </c>
      <c r="O75" s="548"/>
      <c r="P75" s="549"/>
    </row>
    <row r="76" spans="2:16">
      <c r="C76" s="706"/>
      <c r="D76" s="1220"/>
      <c r="E76" s="1219"/>
      <c r="F76" s="1219"/>
      <c r="G76" s="1219"/>
      <c r="H76" s="1219"/>
      <c r="I76" s="1219"/>
      <c r="J76" s="1219"/>
      <c r="K76" s="1219"/>
      <c r="L76" s="1219"/>
      <c r="M76" s="1219"/>
      <c r="N76" s="1219"/>
    </row>
    <row r="77" spans="2:16">
      <c r="C77" s="706"/>
      <c r="D77" s="1221" t="s">
        <v>425</v>
      </c>
      <c r="E77" s="1253">
        <f>+E75+E70</f>
        <v>335180019.76986933</v>
      </c>
      <c r="F77" s="1253">
        <f t="shared" ref="F77:N77" si="24">+F75+F70</f>
        <v>14595475.449999999</v>
      </c>
      <c r="G77" s="1253">
        <f t="shared" si="24"/>
        <v>6837900.3400000008</v>
      </c>
      <c r="H77" s="1253">
        <f t="shared" si="24"/>
        <v>342937594.8798694</v>
      </c>
      <c r="I77" s="1253">
        <f t="shared" si="24"/>
        <v>100283359</v>
      </c>
      <c r="J77" s="1253">
        <f t="shared" si="24"/>
        <v>16619758</v>
      </c>
      <c r="K77" s="1253">
        <f t="shared" si="24"/>
        <v>573181</v>
      </c>
      <c r="L77" s="1253">
        <f t="shared" si="24"/>
        <v>1336349</v>
      </c>
      <c r="M77" s="1253">
        <f t="shared" si="24"/>
        <v>116139949</v>
      </c>
      <c r="N77" s="1253">
        <f t="shared" si="24"/>
        <v>226797645.87986934</v>
      </c>
    </row>
    <row r="78" spans="2:16">
      <c r="B78" s="1196">
        <v>43555</v>
      </c>
      <c r="C78" s="1229"/>
      <c r="D78" s="1216"/>
      <c r="E78" s="1216"/>
      <c r="F78" s="1230"/>
      <c r="G78" s="1216"/>
      <c r="H78" s="1216"/>
      <c r="I78" s="1216"/>
      <c r="J78" s="1230"/>
      <c r="K78" s="1230"/>
      <c r="L78" s="1216"/>
      <c r="M78" s="1216"/>
      <c r="N78" s="1231"/>
    </row>
    <row r="79" spans="2:16">
      <c r="C79" s="1212" t="str">
        <f>"NOTES ON FINANCIAL STATEMENT FOR THE YEAR ENDING  "&amp;UPPER(TEXT(B78,"DD, MMMM, YYYY"))</f>
        <v>NOTES ON FINANCIAL STATEMENT FOR THE YEAR ENDING  31, MARCH, 2019</v>
      </c>
      <c r="D79" s="1216"/>
      <c r="E79" s="1216"/>
      <c r="F79" s="1230"/>
      <c r="G79" s="1232"/>
      <c r="H79" s="1216"/>
      <c r="I79" s="1216"/>
      <c r="J79" s="1230"/>
      <c r="K79" s="1230"/>
      <c r="L79" s="1216"/>
      <c r="M79" s="1216"/>
      <c r="N79" s="1233"/>
    </row>
    <row r="80" spans="2:16">
      <c r="C80" s="1519" t="s">
        <v>1739</v>
      </c>
      <c r="D80" s="1521" t="s">
        <v>546</v>
      </c>
      <c r="E80" s="1523" t="s">
        <v>1740</v>
      </c>
      <c r="F80" s="1523"/>
      <c r="G80" s="1523"/>
      <c r="H80" s="1523"/>
      <c r="I80" s="1524" t="s">
        <v>1741</v>
      </c>
      <c r="J80" s="1524"/>
      <c r="K80" s="1524"/>
      <c r="L80" s="1524"/>
      <c r="M80" s="1524"/>
      <c r="N80" s="1198" t="s">
        <v>1742</v>
      </c>
    </row>
    <row r="81" spans="3:14" ht="60">
      <c r="C81" s="1520"/>
      <c r="D81" s="1522"/>
      <c r="E81" s="1185" t="s">
        <v>1855</v>
      </c>
      <c r="F81" s="724" t="s">
        <v>1769</v>
      </c>
      <c r="G81" s="1185" t="s">
        <v>1745</v>
      </c>
      <c r="H81" s="722" t="s">
        <v>1771</v>
      </c>
      <c r="I81" s="1186" t="s">
        <v>1855</v>
      </c>
      <c r="J81" s="723" t="s">
        <v>1747</v>
      </c>
      <c r="K81" s="723" t="s">
        <v>1770</v>
      </c>
      <c r="L81" s="1186" t="s">
        <v>1745</v>
      </c>
      <c r="M81" s="722" t="s">
        <v>1771</v>
      </c>
      <c r="N81" s="722" t="s">
        <v>1771</v>
      </c>
    </row>
    <row r="82" spans="3:14">
      <c r="C82" s="721"/>
      <c r="D82" s="720" t="s">
        <v>1749</v>
      </c>
      <c r="E82" s="1204"/>
      <c r="F82" s="1204"/>
      <c r="G82" s="1204"/>
      <c r="H82" s="1204"/>
      <c r="I82" s="1204"/>
      <c r="J82" s="1204"/>
      <c r="K82" s="1204"/>
      <c r="L82" s="1204"/>
      <c r="M82" s="1204"/>
      <c r="N82" s="1204"/>
    </row>
    <row r="83" spans="3:14">
      <c r="C83" s="719">
        <v>1</v>
      </c>
      <c r="D83" s="718" t="s">
        <v>133</v>
      </c>
      <c r="E83" s="1202">
        <v>33965000</v>
      </c>
      <c r="F83" s="1202">
        <v>0</v>
      </c>
      <c r="G83" s="1202">
        <v>0</v>
      </c>
      <c r="H83" s="1205">
        <f t="shared" ref="H83:H90" si="25">E83+F83-G83</f>
        <v>33965000</v>
      </c>
      <c r="I83" s="1202">
        <v>0</v>
      </c>
      <c r="J83" s="1202">
        <v>0</v>
      </c>
      <c r="K83" s="1202">
        <v>0</v>
      </c>
      <c r="L83" s="1202">
        <v>0</v>
      </c>
      <c r="M83" s="1202">
        <f>I83+J83-L83</f>
        <v>0</v>
      </c>
      <c r="N83" s="1202">
        <f t="shared" ref="N83:N90" si="26">H83-M83</f>
        <v>33965000</v>
      </c>
    </row>
    <row r="84" spans="3:14">
      <c r="C84" s="719">
        <v>2</v>
      </c>
      <c r="D84" s="718" t="s">
        <v>1772</v>
      </c>
      <c r="E84" s="1202">
        <v>49108850</v>
      </c>
      <c r="F84" s="1202">
        <v>5928082</v>
      </c>
      <c r="G84" s="1202">
        <v>0</v>
      </c>
      <c r="H84" s="1202">
        <f t="shared" si="25"/>
        <v>55036932</v>
      </c>
      <c r="I84" s="1202">
        <v>379192</v>
      </c>
      <c r="J84" s="1202">
        <f>1578365-573181</f>
        <v>1005184</v>
      </c>
      <c r="K84" s="1202">
        <v>573181</v>
      </c>
      <c r="L84" s="1202">
        <v>0</v>
      </c>
      <c r="M84" s="1202">
        <f>I84+J84-L84+K84</f>
        <v>1957557</v>
      </c>
      <c r="N84" s="1202">
        <f t="shared" si="26"/>
        <v>53079375</v>
      </c>
    </row>
    <row r="85" spans="3:14">
      <c r="C85" s="719">
        <v>3</v>
      </c>
      <c r="D85" s="718" t="s">
        <v>261</v>
      </c>
      <c r="E85" s="1202">
        <v>200467288</v>
      </c>
      <c r="F85" s="1202">
        <v>12586263</v>
      </c>
      <c r="G85" s="1202">
        <v>0</v>
      </c>
      <c r="H85" s="1202">
        <f t="shared" si="25"/>
        <v>213053551</v>
      </c>
      <c r="I85" s="1202">
        <v>66705615</v>
      </c>
      <c r="J85" s="1202">
        <v>12624072</v>
      </c>
      <c r="K85" s="1202">
        <v>0</v>
      </c>
      <c r="L85" s="1202">
        <v>0</v>
      </c>
      <c r="M85" s="1202">
        <f t="shared" ref="M85:M90" si="27">I85+J85-L85-K85</f>
        <v>79329687</v>
      </c>
      <c r="N85" s="1202">
        <f t="shared" si="26"/>
        <v>133723864</v>
      </c>
    </row>
    <row r="86" spans="3:14">
      <c r="C86" s="719">
        <v>4</v>
      </c>
      <c r="D86" s="718" t="s">
        <v>113</v>
      </c>
      <c r="E86" s="1202">
        <v>25858946</v>
      </c>
      <c r="F86" s="1202">
        <v>1090709</v>
      </c>
      <c r="G86" s="1202">
        <v>0</v>
      </c>
      <c r="H86" s="1202">
        <f t="shared" si="25"/>
        <v>26949655</v>
      </c>
      <c r="I86" s="1202">
        <v>12931347</v>
      </c>
      <c r="J86" s="1202">
        <v>1830288</v>
      </c>
      <c r="K86" s="1202">
        <v>0</v>
      </c>
      <c r="L86" s="1202">
        <v>0</v>
      </c>
      <c r="M86" s="1202">
        <f t="shared" si="27"/>
        <v>14761635</v>
      </c>
      <c r="N86" s="1202">
        <f t="shared" si="26"/>
        <v>12188020</v>
      </c>
    </row>
    <row r="87" spans="3:14">
      <c r="C87" s="719">
        <v>5</v>
      </c>
      <c r="D87" s="718" t="s">
        <v>76</v>
      </c>
      <c r="E87" s="1202">
        <v>977583</v>
      </c>
      <c r="F87" s="1202">
        <v>79618</v>
      </c>
      <c r="G87" s="1202">
        <v>0</v>
      </c>
      <c r="H87" s="1202">
        <f t="shared" si="25"/>
        <v>1057201</v>
      </c>
      <c r="I87" s="1202">
        <v>786618</v>
      </c>
      <c r="J87" s="1202">
        <v>59810</v>
      </c>
      <c r="K87" s="1202">
        <v>0</v>
      </c>
      <c r="L87" s="1202">
        <v>0</v>
      </c>
      <c r="M87" s="1202">
        <f t="shared" si="27"/>
        <v>846428</v>
      </c>
      <c r="N87" s="1202">
        <f t="shared" si="26"/>
        <v>210773</v>
      </c>
    </row>
    <row r="88" spans="3:14">
      <c r="C88" s="719">
        <v>6</v>
      </c>
      <c r="D88" s="718" t="s">
        <v>238</v>
      </c>
      <c r="E88" s="1202">
        <v>810300</v>
      </c>
      <c r="F88" s="1202">
        <v>40572</v>
      </c>
      <c r="G88" s="1202">
        <v>0</v>
      </c>
      <c r="H88" s="1202">
        <f t="shared" si="25"/>
        <v>850872</v>
      </c>
      <c r="I88" s="1202">
        <f>+ROUND(706172.845821918,0)</f>
        <v>706173</v>
      </c>
      <c r="J88" s="1202">
        <v>23569</v>
      </c>
      <c r="K88" s="1202">
        <v>0</v>
      </c>
      <c r="L88" s="1202">
        <v>0</v>
      </c>
      <c r="M88" s="1202">
        <f t="shared" si="27"/>
        <v>729742</v>
      </c>
      <c r="N88" s="1202">
        <f t="shared" si="26"/>
        <v>121130</v>
      </c>
    </row>
    <row r="89" spans="3:14">
      <c r="C89" s="719">
        <v>7</v>
      </c>
      <c r="D89" s="718" t="s">
        <v>1753</v>
      </c>
      <c r="E89" s="1202">
        <v>1532506</v>
      </c>
      <c r="F89" s="1202">
        <v>287789</v>
      </c>
      <c r="G89" s="1202">
        <v>0</v>
      </c>
      <c r="H89" s="1205">
        <f t="shared" si="25"/>
        <v>1820295</v>
      </c>
      <c r="I89" s="1202">
        <v>1304640</v>
      </c>
      <c r="J89" s="1202">
        <v>115548</v>
      </c>
      <c r="K89" s="1202">
        <v>0</v>
      </c>
      <c r="L89" s="1202">
        <v>0</v>
      </c>
      <c r="M89" s="1202">
        <f t="shared" si="27"/>
        <v>1420188</v>
      </c>
      <c r="N89" s="1202">
        <f t="shared" si="26"/>
        <v>400107</v>
      </c>
    </row>
    <row r="90" spans="3:14">
      <c r="C90" s="719">
        <v>8</v>
      </c>
      <c r="D90" s="718" t="s">
        <v>1754</v>
      </c>
      <c r="E90" s="1202">
        <v>1618087</v>
      </c>
      <c r="F90" s="1202">
        <v>343638</v>
      </c>
      <c r="G90" s="1202">
        <v>0</v>
      </c>
      <c r="H90" s="1202">
        <f t="shared" si="25"/>
        <v>1961725</v>
      </c>
      <c r="I90" s="1202">
        <v>1002174</v>
      </c>
      <c r="J90" s="1202">
        <v>235948</v>
      </c>
      <c r="K90" s="1202">
        <v>0</v>
      </c>
      <c r="L90" s="1202">
        <v>0</v>
      </c>
      <c r="M90" s="1202">
        <f t="shared" si="27"/>
        <v>1238122</v>
      </c>
      <c r="N90" s="1202">
        <f t="shared" si="26"/>
        <v>723603</v>
      </c>
    </row>
    <row r="91" spans="3:14">
      <c r="C91" s="717"/>
      <c r="D91" s="716" t="s">
        <v>1096</v>
      </c>
      <c r="E91" s="1206">
        <f t="shared" ref="E91:N91" si="28">SUM(E83:E90)</f>
        <v>314338560</v>
      </c>
      <c r="F91" s="1206">
        <f t="shared" si="28"/>
        <v>20356671</v>
      </c>
      <c r="G91" s="1206">
        <f t="shared" si="28"/>
        <v>0</v>
      </c>
      <c r="H91" s="1206">
        <f t="shared" si="28"/>
        <v>334695231</v>
      </c>
      <c r="I91" s="1206">
        <f t="shared" si="28"/>
        <v>83815759</v>
      </c>
      <c r="J91" s="1206">
        <f t="shared" si="28"/>
        <v>15894419</v>
      </c>
      <c r="K91" s="1206">
        <f t="shared" si="28"/>
        <v>573181</v>
      </c>
      <c r="L91" s="1206">
        <f t="shared" si="28"/>
        <v>0</v>
      </c>
      <c r="M91" s="1206">
        <f t="shared" si="28"/>
        <v>100283359</v>
      </c>
      <c r="N91" s="1206">
        <f t="shared" si="28"/>
        <v>234411872</v>
      </c>
    </row>
    <row r="92" spans="3:14" ht="15.75">
      <c r="C92" s="711"/>
      <c r="D92" s="711"/>
      <c r="E92" s="711"/>
      <c r="F92" s="714"/>
      <c r="G92" s="711"/>
      <c r="H92" s="712"/>
      <c r="I92" s="711"/>
      <c r="J92" s="715"/>
      <c r="K92" s="714"/>
      <c r="L92" s="711"/>
      <c r="M92" s="713"/>
      <c r="N92" s="712"/>
    </row>
    <row r="93" spans="3:14">
      <c r="C93" s="726"/>
      <c r="D93" s="725" t="s">
        <v>1856</v>
      </c>
      <c r="E93" s="710"/>
      <c r="F93" s="709"/>
      <c r="G93" s="708"/>
      <c r="H93" s="708"/>
      <c r="I93" s="708"/>
      <c r="J93" s="709"/>
      <c r="K93" s="709"/>
      <c r="L93" s="708"/>
      <c r="M93" s="707"/>
      <c r="N93" s="708"/>
    </row>
    <row r="94" spans="3:14" s="1203" customFormat="1">
      <c r="C94" s="1199"/>
      <c r="D94" s="1200" t="s">
        <v>1854</v>
      </c>
      <c r="E94" s="1201">
        <v>382310</v>
      </c>
      <c r="F94" s="1201">
        <v>484789</v>
      </c>
      <c r="G94" s="1201">
        <f>-382310</f>
        <v>-382310</v>
      </c>
      <c r="H94" s="1202">
        <f>E94+F94+G94</f>
        <v>484789</v>
      </c>
      <c r="I94" s="1201">
        <v>0</v>
      </c>
      <c r="J94" s="1201">
        <v>0</v>
      </c>
      <c r="K94" s="1201">
        <v>0</v>
      </c>
      <c r="L94" s="1201">
        <v>0</v>
      </c>
      <c r="M94" s="1201">
        <v>0</v>
      </c>
      <c r="N94" s="1202">
        <f>H94-M94</f>
        <v>484789</v>
      </c>
    </row>
    <row r="95" spans="3:14">
      <c r="C95" s="1234"/>
      <c r="D95" s="1235" t="s">
        <v>1096</v>
      </c>
      <c r="E95" s="1236">
        <f t="shared" ref="E95:N95" si="29">E94+E91</f>
        <v>314720870</v>
      </c>
      <c r="F95" s="1237">
        <f t="shared" si="29"/>
        <v>20841460</v>
      </c>
      <c r="G95" s="1238">
        <f t="shared" si="29"/>
        <v>-382310</v>
      </c>
      <c r="H95" s="1237">
        <f t="shared" si="29"/>
        <v>335180020</v>
      </c>
      <c r="I95" s="1237">
        <f t="shared" si="29"/>
        <v>83815759</v>
      </c>
      <c r="J95" s="1237">
        <f t="shared" si="29"/>
        <v>15894419</v>
      </c>
      <c r="K95" s="1237">
        <f t="shared" si="29"/>
        <v>573181</v>
      </c>
      <c r="L95" s="1237">
        <f t="shared" si="29"/>
        <v>0</v>
      </c>
      <c r="M95" s="1237">
        <f t="shared" si="29"/>
        <v>100283359</v>
      </c>
      <c r="N95" s="1237">
        <f t="shared" si="29"/>
        <v>234896661</v>
      </c>
    </row>
  </sheetData>
  <customSheetViews>
    <customSheetView guid="{F039C147-8083-49A0-B541-A610A15BA793}" scale="85" fitToPage="1" hiddenRows="1" topLeftCell="H60">
      <selection activeCell="N77" sqref="N77"/>
      <pageMargins left="0.25" right="0.25" top="0.75" bottom="0.75" header="0.3" footer="0.3"/>
      <pageSetup paperSize="9" scale="63" fitToHeight="0" orientation="landscape" r:id="rId1"/>
    </customSheetView>
    <customSheetView guid="{F140806D-66CA-4A66-855A-CCBDE7D69760}" scale="85" showPageBreaks="1" fitToPage="1" printArea="1" hiddenRows="1" topLeftCell="H60">
      <selection activeCell="N77" sqref="N77"/>
      <pageMargins left="0.25" right="0.25" top="0.75" bottom="0.75" header="0.3" footer="0.3"/>
      <pageSetup paperSize="9" scale="66" fitToHeight="0" orientation="landscape" r:id="rId2"/>
    </customSheetView>
  </customSheetViews>
  <mergeCells count="18">
    <mergeCell ref="C80:C81"/>
    <mergeCell ref="D80:D81"/>
    <mergeCell ref="E80:H80"/>
    <mergeCell ref="I80:M80"/>
    <mergeCell ref="C59:C60"/>
    <mergeCell ref="D59:D60"/>
    <mergeCell ref="E59:H59"/>
    <mergeCell ref="I59:M59"/>
    <mergeCell ref="C6:C7"/>
    <mergeCell ref="D6:D7"/>
    <mergeCell ref="E6:H6"/>
    <mergeCell ref="I6:M6"/>
    <mergeCell ref="N6:O6"/>
    <mergeCell ref="C35:C36"/>
    <mergeCell ref="D35:D36"/>
    <mergeCell ref="E35:H35"/>
    <mergeCell ref="I35:M35"/>
    <mergeCell ref="N35:O35"/>
  </mergeCells>
  <conditionalFormatting sqref="E32:O32">
    <cfRule type="expression" dxfId="11" priority="2">
      <formula>IF(E32=E$25,1,0)</formula>
    </cfRule>
  </conditionalFormatting>
  <pageMargins left="0.25" right="0.25" top="0.75" bottom="0.75" header="0.3" footer="0.3"/>
  <pageSetup paperSize="9" scale="62" fitToHeight="0" orientation="landscape" r:id="rId3"/>
  <colBreaks count="1" manualBreakCount="1">
    <brk id="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J669"/>
  <sheetViews>
    <sheetView topLeftCell="A238" zoomScale="71" zoomScaleNormal="71" workbookViewId="0">
      <selection activeCell="B268" sqref="B268"/>
    </sheetView>
  </sheetViews>
  <sheetFormatPr defaultRowHeight="15"/>
  <cols>
    <col min="1" max="1" width="17.7109375" style="19" bestFit="1" customWidth="1"/>
    <col min="2" max="2" width="42.5703125" style="19" bestFit="1" customWidth="1"/>
    <col min="3" max="3" width="64.28515625" style="19" bestFit="1" customWidth="1"/>
    <col min="4" max="4" width="57.85546875" style="19" bestFit="1" customWidth="1"/>
    <col min="5" max="6" width="25.140625" style="19" bestFit="1" customWidth="1"/>
    <col min="7" max="8" width="22.42578125" style="19" bestFit="1" customWidth="1"/>
    <col min="9" max="9" width="9.140625" style="19"/>
    <col min="10" max="10" width="13.42578125" style="19" bestFit="1" customWidth="1"/>
    <col min="11" max="11" width="12.28515625" style="19" bestFit="1" customWidth="1"/>
    <col min="12" max="16384" width="9.140625" style="19"/>
  </cols>
  <sheetData>
    <row r="3" spans="1:8">
      <c r="A3" s="19" t="s">
        <v>1108</v>
      </c>
      <c r="B3" s="19" t="s">
        <v>548</v>
      </c>
      <c r="C3" s="19" t="s">
        <v>549</v>
      </c>
      <c r="D3" s="19" t="s">
        <v>546</v>
      </c>
      <c r="E3" s="19" t="s">
        <v>1109</v>
      </c>
      <c r="F3" s="19" t="s">
        <v>1110</v>
      </c>
      <c r="G3" s="19" t="s">
        <v>1111</v>
      </c>
      <c r="H3" s="19" t="s">
        <v>1112</v>
      </c>
    </row>
    <row r="4" spans="1:8">
      <c r="A4" s="1317">
        <v>2</v>
      </c>
      <c r="B4" s="1317" t="s">
        <v>636</v>
      </c>
      <c r="C4" s="1317" t="s">
        <v>637</v>
      </c>
      <c r="D4" s="1317" t="s">
        <v>114</v>
      </c>
      <c r="E4" s="1318">
        <v>0</v>
      </c>
      <c r="F4" s="1318">
        <v>26922650</v>
      </c>
      <c r="G4" s="1318">
        <v>0</v>
      </c>
      <c r="H4" s="1318">
        <v>26922650</v>
      </c>
    </row>
    <row r="5" spans="1:8">
      <c r="C5" s="1317" t="s">
        <v>1160</v>
      </c>
      <c r="E5" s="1318">
        <v>0</v>
      </c>
      <c r="F5" s="1318">
        <v>26922650</v>
      </c>
      <c r="G5" s="1318">
        <v>0</v>
      </c>
      <c r="H5" s="1318">
        <v>26922650</v>
      </c>
    </row>
    <row r="6" spans="1:8">
      <c r="B6" s="1317" t="s">
        <v>1132</v>
      </c>
      <c r="E6" s="1318">
        <v>0</v>
      </c>
      <c r="F6" s="1318">
        <v>26922650</v>
      </c>
      <c r="G6" s="1318">
        <v>0</v>
      </c>
      <c r="H6" s="1318">
        <v>26922650</v>
      </c>
    </row>
    <row r="7" spans="1:8">
      <c r="A7" s="1317" t="s">
        <v>1137</v>
      </c>
      <c r="E7" s="1318">
        <v>0</v>
      </c>
      <c r="F7" s="1318">
        <v>26922650</v>
      </c>
      <c r="G7" s="1318">
        <v>0</v>
      </c>
      <c r="H7" s="1318">
        <v>26922650</v>
      </c>
    </row>
    <row r="8" spans="1:8">
      <c r="A8" s="1317">
        <v>3</v>
      </c>
      <c r="B8" s="1317" t="s">
        <v>597</v>
      </c>
      <c r="C8" s="1317" t="s">
        <v>598</v>
      </c>
      <c r="D8" s="1317" t="s">
        <v>54</v>
      </c>
      <c r="E8" s="1318">
        <v>0</v>
      </c>
      <c r="F8" s="1318">
        <v>20413989</v>
      </c>
      <c r="G8" s="1318">
        <v>0</v>
      </c>
      <c r="H8" s="1318">
        <v>20413989</v>
      </c>
    </row>
    <row r="9" spans="1:8">
      <c r="D9" s="1317" t="s">
        <v>312</v>
      </c>
      <c r="E9" s="1318">
        <v>0</v>
      </c>
      <c r="F9" s="1318">
        <v>50905004</v>
      </c>
      <c r="G9" s="1318">
        <v>0</v>
      </c>
      <c r="H9" s="1318">
        <v>50905004</v>
      </c>
    </row>
    <row r="10" spans="1:8">
      <c r="C10" s="1317" t="s">
        <v>1161</v>
      </c>
      <c r="E10" s="1318">
        <v>0</v>
      </c>
      <c r="F10" s="1318">
        <v>71318993</v>
      </c>
      <c r="G10" s="1318">
        <v>0</v>
      </c>
      <c r="H10" s="1318">
        <v>71318993</v>
      </c>
    </row>
    <row r="11" spans="1:8">
      <c r="C11" s="1317" t="s">
        <v>646</v>
      </c>
      <c r="D11" s="1317" t="s">
        <v>137</v>
      </c>
      <c r="E11" s="1318">
        <v>0</v>
      </c>
      <c r="F11" s="1318">
        <v>1800000</v>
      </c>
      <c r="G11" s="1318">
        <v>0</v>
      </c>
      <c r="H11" s="1318">
        <v>1800000</v>
      </c>
    </row>
    <row r="12" spans="1:8">
      <c r="C12" s="1317" t="s">
        <v>1162</v>
      </c>
      <c r="E12" s="1318">
        <v>0</v>
      </c>
      <c r="F12" s="1318">
        <v>1800000</v>
      </c>
      <c r="G12" s="1318">
        <v>0</v>
      </c>
      <c r="H12" s="1318">
        <v>1800000</v>
      </c>
    </row>
    <row r="13" spans="1:8">
      <c r="C13" s="1317" t="s">
        <v>719</v>
      </c>
      <c r="D13" s="1317" t="s">
        <v>339</v>
      </c>
      <c r="E13" s="1318">
        <v>0</v>
      </c>
      <c r="F13" s="1318">
        <v>8664946</v>
      </c>
      <c r="G13" s="1318">
        <v>0</v>
      </c>
      <c r="H13" s="1318">
        <v>8664946</v>
      </c>
    </row>
    <row r="14" spans="1:8">
      <c r="C14" s="1317" t="s">
        <v>1163</v>
      </c>
      <c r="E14" s="1318">
        <v>0</v>
      </c>
      <c r="F14" s="1318">
        <v>8664946</v>
      </c>
      <c r="G14" s="1318">
        <v>0</v>
      </c>
      <c r="H14" s="1318">
        <v>8664946</v>
      </c>
    </row>
    <row r="15" spans="1:8">
      <c r="C15" s="1317" t="s">
        <v>686</v>
      </c>
      <c r="D15" s="1317" t="s">
        <v>685</v>
      </c>
      <c r="E15" s="1318">
        <v>0</v>
      </c>
      <c r="F15" s="1318">
        <v>112979368.51000001</v>
      </c>
      <c r="G15" s="1318">
        <v>0</v>
      </c>
      <c r="H15" s="1318">
        <v>54521566.57</v>
      </c>
    </row>
    <row r="16" spans="1:8">
      <c r="C16" s="1317" t="s">
        <v>1164</v>
      </c>
      <c r="E16" s="1318">
        <v>0</v>
      </c>
      <c r="F16" s="1318">
        <v>112979368.51000001</v>
      </c>
      <c r="G16" s="1318">
        <v>0</v>
      </c>
      <c r="H16" s="1318">
        <v>54521566.57</v>
      </c>
    </row>
    <row r="17" spans="1:8">
      <c r="B17" s="1317" t="s">
        <v>1130</v>
      </c>
      <c r="E17" s="1318">
        <v>0</v>
      </c>
      <c r="F17" s="1318">
        <v>194763307.50999999</v>
      </c>
      <c r="G17" s="1318">
        <v>0</v>
      </c>
      <c r="H17" s="1318">
        <v>136305505.56999999</v>
      </c>
    </row>
    <row r="18" spans="1:8">
      <c r="A18" s="1317" t="s">
        <v>1138</v>
      </c>
      <c r="E18" s="1318">
        <v>0</v>
      </c>
      <c r="F18" s="1318">
        <v>194763307.50999999</v>
      </c>
      <c r="G18" s="1318">
        <v>0</v>
      </c>
      <c r="H18" s="1318">
        <v>136305505.56999999</v>
      </c>
    </row>
    <row r="19" spans="1:8">
      <c r="A19" s="1317">
        <v>4</v>
      </c>
      <c r="B19" s="1317" t="s">
        <v>576</v>
      </c>
      <c r="C19" s="1317" t="s">
        <v>709</v>
      </c>
      <c r="D19" s="1317" t="s">
        <v>335</v>
      </c>
      <c r="E19" s="1318">
        <v>0</v>
      </c>
      <c r="F19" s="1318">
        <v>7150762</v>
      </c>
      <c r="G19" s="1318">
        <v>0</v>
      </c>
      <c r="H19" s="1318">
        <v>10474175</v>
      </c>
    </row>
    <row r="20" spans="1:8">
      <c r="D20" s="1317" t="s">
        <v>336</v>
      </c>
      <c r="E20" s="1318">
        <v>0</v>
      </c>
      <c r="F20" s="1318">
        <v>695244</v>
      </c>
      <c r="G20" s="1318">
        <v>0</v>
      </c>
      <c r="H20" s="1318">
        <v>8698000</v>
      </c>
    </row>
    <row r="21" spans="1:8">
      <c r="D21" s="1317" t="s">
        <v>337</v>
      </c>
      <c r="E21" s="1318">
        <v>0</v>
      </c>
      <c r="F21" s="1318">
        <v>5601686</v>
      </c>
      <c r="G21" s="1318">
        <v>0</v>
      </c>
      <c r="H21" s="1318">
        <v>8001231</v>
      </c>
    </row>
    <row r="22" spans="1:8">
      <c r="D22" s="1317" t="s">
        <v>338</v>
      </c>
      <c r="E22" s="1318">
        <v>0</v>
      </c>
      <c r="F22" s="1318">
        <v>253317</v>
      </c>
      <c r="G22" s="1318">
        <v>0</v>
      </c>
      <c r="H22" s="1318">
        <v>3252350</v>
      </c>
    </row>
    <row r="23" spans="1:8">
      <c r="C23" s="1317" t="s">
        <v>1165</v>
      </c>
      <c r="E23" s="1318">
        <v>0</v>
      </c>
      <c r="F23" s="1318">
        <v>13701009</v>
      </c>
      <c r="G23" s="1318">
        <v>0</v>
      </c>
      <c r="H23" s="1318">
        <v>30425756</v>
      </c>
    </row>
    <row r="24" spans="1:8">
      <c r="C24" s="1317" t="s">
        <v>728</v>
      </c>
      <c r="D24" s="1317" t="s">
        <v>523</v>
      </c>
      <c r="E24" s="1318">
        <v>0</v>
      </c>
      <c r="F24" s="1318">
        <v>0</v>
      </c>
      <c r="G24" s="1318">
        <v>0</v>
      </c>
      <c r="H24" s="1318">
        <v>114949</v>
      </c>
    </row>
    <row r="25" spans="1:8">
      <c r="D25" s="1317" t="s">
        <v>366</v>
      </c>
      <c r="E25" s="1318">
        <v>0</v>
      </c>
      <c r="F25" s="1318">
        <v>32212</v>
      </c>
      <c r="G25" s="1318">
        <v>0</v>
      </c>
      <c r="H25" s="1318">
        <v>459137</v>
      </c>
    </row>
    <row r="26" spans="1:8">
      <c r="D26" s="1317" t="s">
        <v>367</v>
      </c>
      <c r="E26" s="1318">
        <v>0</v>
      </c>
      <c r="F26" s="1318">
        <v>98185</v>
      </c>
      <c r="G26" s="1318">
        <v>0</v>
      </c>
      <c r="H26" s="1318">
        <v>484174</v>
      </c>
    </row>
    <row r="27" spans="1:8">
      <c r="C27" s="1317" t="s">
        <v>1166</v>
      </c>
      <c r="E27" s="1318">
        <v>0</v>
      </c>
      <c r="F27" s="1318">
        <v>130397</v>
      </c>
      <c r="G27" s="1318">
        <v>0</v>
      </c>
      <c r="H27" s="1318">
        <v>1058260</v>
      </c>
    </row>
    <row r="28" spans="1:8">
      <c r="C28" s="1317" t="s">
        <v>577</v>
      </c>
      <c r="D28" s="1317" t="s">
        <v>575</v>
      </c>
      <c r="E28" s="1318">
        <v>0</v>
      </c>
      <c r="F28" s="1318">
        <v>2186694</v>
      </c>
      <c r="G28" s="1318">
        <v>0</v>
      </c>
      <c r="H28" s="1318">
        <v>2000000</v>
      </c>
    </row>
    <row r="29" spans="1:8">
      <c r="D29" s="1317" t="s">
        <v>33</v>
      </c>
      <c r="E29" s="1318">
        <v>0</v>
      </c>
      <c r="F29" s="1318">
        <v>874676</v>
      </c>
      <c r="G29" s="1318">
        <v>0</v>
      </c>
      <c r="H29" s="1318">
        <v>800000</v>
      </c>
    </row>
    <row r="30" spans="1:8">
      <c r="D30" s="1317" t="s">
        <v>44</v>
      </c>
      <c r="E30" s="1318">
        <v>0</v>
      </c>
      <c r="F30" s="1318">
        <v>1093348</v>
      </c>
      <c r="G30" s="1318">
        <v>0</v>
      </c>
      <c r="H30" s="1318">
        <v>1000000</v>
      </c>
    </row>
    <row r="31" spans="1:8">
      <c r="D31" s="1317" t="s">
        <v>145</v>
      </c>
      <c r="E31" s="1318">
        <v>0</v>
      </c>
      <c r="F31" s="1318">
        <v>1093348</v>
      </c>
      <c r="G31" s="1318">
        <v>0</v>
      </c>
      <c r="H31" s="1318">
        <v>1000000</v>
      </c>
    </row>
    <row r="32" spans="1:8">
      <c r="D32" s="1317" t="s">
        <v>187</v>
      </c>
      <c r="E32" s="1318">
        <v>0</v>
      </c>
      <c r="F32" s="1318">
        <v>6498343</v>
      </c>
      <c r="G32" s="1318">
        <v>0</v>
      </c>
      <c r="H32" s="1318">
        <v>6500000</v>
      </c>
    </row>
    <row r="33" spans="1:8">
      <c r="D33" s="1317" t="s">
        <v>194</v>
      </c>
      <c r="E33" s="1318">
        <v>0</v>
      </c>
      <c r="F33" s="1318">
        <v>3280041</v>
      </c>
      <c r="G33" s="1318">
        <v>0</v>
      </c>
      <c r="H33" s="1318">
        <v>3000000</v>
      </c>
    </row>
    <row r="34" spans="1:8">
      <c r="D34" s="1317" t="s">
        <v>330</v>
      </c>
      <c r="E34" s="1318">
        <v>0</v>
      </c>
      <c r="F34" s="1318">
        <v>874676</v>
      </c>
      <c r="G34" s="1318">
        <v>0</v>
      </c>
      <c r="H34" s="1318">
        <v>800000</v>
      </c>
    </row>
    <row r="35" spans="1:8">
      <c r="D35" s="1317" t="s">
        <v>718</v>
      </c>
      <c r="E35" s="1318">
        <v>0</v>
      </c>
      <c r="F35" s="1318">
        <v>1640020</v>
      </c>
      <c r="G35" s="1318">
        <v>0</v>
      </c>
      <c r="H35" s="1318">
        <v>1500000</v>
      </c>
    </row>
    <row r="36" spans="1:8">
      <c r="D36" s="1317" t="s">
        <v>357</v>
      </c>
      <c r="E36" s="1318">
        <v>0</v>
      </c>
      <c r="F36" s="1318">
        <v>1749357</v>
      </c>
      <c r="G36" s="1318">
        <v>0</v>
      </c>
      <c r="H36" s="1318">
        <v>1600001</v>
      </c>
    </row>
    <row r="37" spans="1:8">
      <c r="C37" s="1317" t="s">
        <v>1167</v>
      </c>
      <c r="E37" s="1318">
        <v>0</v>
      </c>
      <c r="F37" s="1318">
        <v>19290503</v>
      </c>
      <c r="G37" s="1318">
        <v>0</v>
      </c>
      <c r="H37" s="1318">
        <v>18200001</v>
      </c>
    </row>
    <row r="38" spans="1:8">
      <c r="B38" s="1317" t="s">
        <v>1124</v>
      </c>
      <c r="E38" s="1318">
        <v>0</v>
      </c>
      <c r="F38" s="1318">
        <v>33121909</v>
      </c>
      <c r="G38" s="1318">
        <v>0</v>
      </c>
      <c r="H38" s="1318">
        <v>49684017</v>
      </c>
    </row>
    <row r="39" spans="1:8">
      <c r="A39" s="1317" t="s">
        <v>1139</v>
      </c>
      <c r="E39" s="1318">
        <v>0</v>
      </c>
      <c r="F39" s="1318">
        <v>33121909</v>
      </c>
      <c r="G39" s="1318">
        <v>0</v>
      </c>
      <c r="H39" s="1318">
        <v>49684017</v>
      </c>
    </row>
    <row r="40" spans="1:8">
      <c r="A40" s="1317">
        <v>5</v>
      </c>
      <c r="B40" s="1317" t="s">
        <v>620</v>
      </c>
      <c r="C40" s="1317" t="s">
        <v>621</v>
      </c>
      <c r="D40" s="1317" t="s">
        <v>88</v>
      </c>
      <c r="E40" s="1318">
        <v>0</v>
      </c>
      <c r="F40" s="1318">
        <v>20113961</v>
      </c>
      <c r="G40" s="1318">
        <v>0</v>
      </c>
      <c r="H40" s="1318">
        <v>24184943</v>
      </c>
    </row>
    <row r="41" spans="1:8">
      <c r="C41" s="1317" t="s">
        <v>1168</v>
      </c>
      <c r="E41" s="1318">
        <v>0</v>
      </c>
      <c r="F41" s="1318">
        <v>20113961</v>
      </c>
      <c r="G41" s="1318">
        <v>0</v>
      </c>
      <c r="H41" s="1318">
        <v>24184943</v>
      </c>
    </row>
    <row r="42" spans="1:8">
      <c r="B42" s="1317" t="s">
        <v>1119</v>
      </c>
      <c r="E42" s="1318">
        <v>0</v>
      </c>
      <c r="F42" s="1318">
        <v>20113961</v>
      </c>
      <c r="G42" s="1318">
        <v>0</v>
      </c>
      <c r="H42" s="1318">
        <v>24184943</v>
      </c>
    </row>
    <row r="43" spans="1:8">
      <c r="A43" s="1317" t="s">
        <v>1140</v>
      </c>
      <c r="E43" s="1318">
        <v>0</v>
      </c>
      <c r="F43" s="1318">
        <v>20113961</v>
      </c>
      <c r="G43" s="1318">
        <v>0</v>
      </c>
      <c r="H43" s="1318">
        <v>24184943</v>
      </c>
    </row>
    <row r="44" spans="1:8">
      <c r="A44" s="1317">
        <v>6</v>
      </c>
      <c r="B44" s="1317" t="s">
        <v>645</v>
      </c>
      <c r="C44" s="1317" t="s">
        <v>724</v>
      </c>
      <c r="D44" s="1317" t="s">
        <v>723</v>
      </c>
      <c r="E44" s="1318">
        <v>0</v>
      </c>
      <c r="F44" s="1318">
        <v>61843530.590000004</v>
      </c>
      <c r="G44" s="1318">
        <v>0</v>
      </c>
      <c r="H44" s="1318">
        <v>55675684.390000001</v>
      </c>
    </row>
    <row r="45" spans="1:8">
      <c r="C45" s="1317" t="s">
        <v>1169</v>
      </c>
      <c r="E45" s="1318">
        <v>0</v>
      </c>
      <c r="F45" s="1318">
        <v>61843530.590000004</v>
      </c>
      <c r="G45" s="1318">
        <v>0</v>
      </c>
      <c r="H45" s="1318">
        <v>55675684.390000001</v>
      </c>
    </row>
    <row r="46" spans="1:8">
      <c r="B46" s="1317" t="s">
        <v>1133</v>
      </c>
      <c r="E46" s="1318">
        <v>0</v>
      </c>
      <c r="F46" s="1318">
        <v>61843530.590000004</v>
      </c>
      <c r="G46" s="1318">
        <v>0</v>
      </c>
      <c r="H46" s="1318">
        <v>55675684.390000001</v>
      </c>
    </row>
    <row r="47" spans="1:8">
      <c r="A47" s="1317" t="s">
        <v>1141</v>
      </c>
      <c r="E47" s="1318">
        <v>0</v>
      </c>
      <c r="F47" s="1318">
        <v>61843530.590000004</v>
      </c>
      <c r="G47" s="1318">
        <v>0</v>
      </c>
      <c r="H47" s="1318">
        <v>55675684.390000001</v>
      </c>
    </row>
    <row r="48" spans="1:8">
      <c r="A48" s="1317">
        <v>7</v>
      </c>
      <c r="B48" s="1317" t="s">
        <v>561</v>
      </c>
      <c r="C48" s="1317" t="s">
        <v>561</v>
      </c>
      <c r="D48" s="1317" t="s">
        <v>25</v>
      </c>
      <c r="E48" s="1318">
        <v>0</v>
      </c>
      <c r="F48" s="1318">
        <v>135000</v>
      </c>
      <c r="G48" s="1318">
        <v>0</v>
      </c>
      <c r="H48" s="1318">
        <v>86400</v>
      </c>
    </row>
    <row r="49" spans="4:8">
      <c r="D49" s="1317" t="s">
        <v>28</v>
      </c>
      <c r="E49" s="1318">
        <v>0</v>
      </c>
      <c r="F49" s="1318">
        <v>54318</v>
      </c>
      <c r="G49" s="1318">
        <v>0</v>
      </c>
      <c r="H49" s="1318">
        <v>28955</v>
      </c>
    </row>
    <row r="50" spans="4:8">
      <c r="D50" s="1317" t="s">
        <v>574</v>
      </c>
      <c r="E50" s="1318">
        <v>0</v>
      </c>
      <c r="F50" s="1318">
        <v>136776</v>
      </c>
      <c r="G50" s="1318">
        <v>0</v>
      </c>
      <c r="H50" s="1318">
        <v>68388</v>
      </c>
    </row>
    <row r="51" spans="4:8">
      <c r="D51" s="1317" t="s">
        <v>34</v>
      </c>
      <c r="E51" s="1318">
        <v>0</v>
      </c>
      <c r="F51" s="1318">
        <v>30012</v>
      </c>
      <c r="G51" s="1318">
        <v>0</v>
      </c>
      <c r="H51" s="1318">
        <v>0</v>
      </c>
    </row>
    <row r="52" spans="4:8">
      <c r="D52" s="1317" t="s">
        <v>431</v>
      </c>
      <c r="E52" s="1318">
        <v>0</v>
      </c>
      <c r="F52" s="1318">
        <v>0</v>
      </c>
      <c r="G52" s="1318">
        <v>0</v>
      </c>
      <c r="H52" s="1318">
        <v>48876.25</v>
      </c>
    </row>
    <row r="53" spans="4:8">
      <c r="D53" s="1317" t="s">
        <v>432</v>
      </c>
      <c r="E53" s="1318">
        <v>0</v>
      </c>
      <c r="F53" s="1318">
        <v>0</v>
      </c>
      <c r="G53" s="1318">
        <v>0</v>
      </c>
      <c r="H53" s="1318">
        <v>72000</v>
      </c>
    </row>
    <row r="54" spans="4:8">
      <c r="D54" s="1317" t="s">
        <v>43</v>
      </c>
      <c r="E54" s="1318">
        <v>0</v>
      </c>
      <c r="F54" s="1318">
        <v>72103</v>
      </c>
      <c r="G54" s="1318">
        <v>0</v>
      </c>
      <c r="H54" s="1318">
        <v>56666</v>
      </c>
    </row>
    <row r="55" spans="4:8">
      <c r="D55" s="1317" t="s">
        <v>434</v>
      </c>
      <c r="E55" s="1318">
        <v>0</v>
      </c>
      <c r="F55" s="1318">
        <v>0</v>
      </c>
      <c r="G55" s="1318">
        <v>0</v>
      </c>
      <c r="H55" s="1318">
        <v>442500</v>
      </c>
    </row>
    <row r="56" spans="4:8">
      <c r="D56" s="1317" t="s">
        <v>49</v>
      </c>
      <c r="E56" s="1318">
        <v>0</v>
      </c>
      <c r="F56" s="1318">
        <v>53563</v>
      </c>
      <c r="G56" s="1318">
        <v>0</v>
      </c>
      <c r="H56" s="1318">
        <v>18753</v>
      </c>
    </row>
    <row r="57" spans="4:8">
      <c r="D57" s="1317" t="s">
        <v>435</v>
      </c>
      <c r="E57" s="1318">
        <v>0</v>
      </c>
      <c r="F57" s="1318">
        <v>0</v>
      </c>
      <c r="G57" s="1318">
        <v>0</v>
      </c>
      <c r="H57" s="1318">
        <v>107380</v>
      </c>
    </row>
    <row r="58" spans="4:8">
      <c r="D58" s="1317" t="s">
        <v>63</v>
      </c>
      <c r="E58" s="1318">
        <v>0</v>
      </c>
      <c r="F58" s="1318">
        <v>173652</v>
      </c>
      <c r="G58" s="1318">
        <v>0</v>
      </c>
      <c r="H58" s="1318">
        <v>309282</v>
      </c>
    </row>
    <row r="59" spans="4:8">
      <c r="D59" s="1317" t="s">
        <v>440</v>
      </c>
      <c r="E59" s="1318">
        <v>0</v>
      </c>
      <c r="F59" s="1318">
        <v>0</v>
      </c>
      <c r="G59" s="1318">
        <v>0</v>
      </c>
      <c r="H59" s="1318">
        <v>174048</v>
      </c>
    </row>
    <row r="60" spans="4:8">
      <c r="D60" s="1317" t="s">
        <v>69</v>
      </c>
      <c r="E60" s="1318">
        <v>0</v>
      </c>
      <c r="F60" s="1318">
        <v>0</v>
      </c>
      <c r="G60" s="1318">
        <v>0</v>
      </c>
      <c r="H60" s="1318">
        <v>2404941</v>
      </c>
    </row>
    <row r="61" spans="4:8">
      <c r="D61" s="1317" t="s">
        <v>87</v>
      </c>
      <c r="E61" s="1318">
        <v>0</v>
      </c>
      <c r="F61" s="1318">
        <v>2430503</v>
      </c>
      <c r="G61" s="1318">
        <v>0</v>
      </c>
      <c r="H61" s="1318">
        <v>0</v>
      </c>
    </row>
    <row r="62" spans="4:8">
      <c r="D62" s="1317" t="s">
        <v>105</v>
      </c>
      <c r="E62" s="1318">
        <v>0</v>
      </c>
      <c r="F62" s="1318">
        <v>29160</v>
      </c>
      <c r="G62" s="1318">
        <v>0</v>
      </c>
      <c r="H62" s="1318">
        <v>0</v>
      </c>
    </row>
    <row r="63" spans="4:8">
      <c r="D63" s="1317" t="s">
        <v>111</v>
      </c>
      <c r="E63" s="1318">
        <v>0</v>
      </c>
      <c r="F63" s="1318">
        <v>56640</v>
      </c>
      <c r="G63" s="1318">
        <v>0</v>
      </c>
      <c r="H63" s="1318">
        <v>55518</v>
      </c>
    </row>
    <row r="64" spans="4:8">
      <c r="D64" s="1317" t="s">
        <v>112</v>
      </c>
      <c r="E64" s="1318">
        <v>0</v>
      </c>
      <c r="F64" s="1318">
        <v>5099431</v>
      </c>
      <c r="G64" s="1318">
        <v>0</v>
      </c>
      <c r="H64" s="1318">
        <v>1590213.7</v>
      </c>
    </row>
    <row r="65" spans="4:8">
      <c r="D65" s="1317" t="s">
        <v>642</v>
      </c>
      <c r="E65" s="1318">
        <v>0</v>
      </c>
      <c r="F65" s="1318">
        <v>0</v>
      </c>
      <c r="G65" s="1318">
        <v>0</v>
      </c>
      <c r="H65" s="1318">
        <v>3261</v>
      </c>
    </row>
    <row r="66" spans="4:8">
      <c r="D66" s="1317" t="s">
        <v>456</v>
      </c>
      <c r="E66" s="1318">
        <v>0</v>
      </c>
      <c r="F66" s="1318">
        <v>0</v>
      </c>
      <c r="G66" s="1318">
        <v>0</v>
      </c>
      <c r="H66" s="1318">
        <v>26196</v>
      </c>
    </row>
    <row r="67" spans="4:8">
      <c r="D67" s="1317" t="s">
        <v>136</v>
      </c>
      <c r="E67" s="1318">
        <v>0</v>
      </c>
      <c r="F67" s="1318">
        <v>136007</v>
      </c>
      <c r="G67" s="1318">
        <v>44880</v>
      </c>
      <c r="H67" s="1318">
        <v>0</v>
      </c>
    </row>
    <row r="68" spans="4:8">
      <c r="D68" s="1317" t="s">
        <v>457</v>
      </c>
      <c r="E68" s="1318">
        <v>0</v>
      </c>
      <c r="F68" s="1318">
        <v>0</v>
      </c>
      <c r="G68" s="1318">
        <v>0</v>
      </c>
      <c r="H68" s="1318">
        <v>979375</v>
      </c>
    </row>
    <row r="69" spans="4:8">
      <c r="D69" s="1317" t="s">
        <v>458</v>
      </c>
      <c r="E69" s="1318">
        <v>0</v>
      </c>
      <c r="F69" s="1318">
        <v>0</v>
      </c>
      <c r="G69" s="1318">
        <v>0</v>
      </c>
      <c r="H69" s="1318">
        <v>153329</v>
      </c>
    </row>
    <row r="70" spans="4:8">
      <c r="D70" s="1317" t="s">
        <v>143</v>
      </c>
      <c r="E70" s="1318">
        <v>0</v>
      </c>
      <c r="F70" s="1318">
        <v>2016000</v>
      </c>
      <c r="G70" s="1318">
        <v>0</v>
      </c>
      <c r="H70" s="1318">
        <v>0</v>
      </c>
    </row>
    <row r="71" spans="4:8">
      <c r="D71" s="1317" t="s">
        <v>147</v>
      </c>
      <c r="E71" s="1318">
        <v>0</v>
      </c>
      <c r="F71" s="1318">
        <v>67845.8</v>
      </c>
      <c r="G71" s="1318">
        <v>0</v>
      </c>
      <c r="H71" s="1318">
        <v>0</v>
      </c>
    </row>
    <row r="72" spans="4:8">
      <c r="D72" s="1317" t="s">
        <v>149</v>
      </c>
      <c r="E72" s="1318">
        <v>0</v>
      </c>
      <c r="F72" s="1318">
        <v>1762042</v>
      </c>
      <c r="G72" s="1318">
        <v>0</v>
      </c>
      <c r="H72" s="1318">
        <v>0</v>
      </c>
    </row>
    <row r="73" spans="4:8">
      <c r="D73" s="1317" t="s">
        <v>465</v>
      </c>
      <c r="E73" s="1318">
        <v>0</v>
      </c>
      <c r="F73" s="1318">
        <v>0</v>
      </c>
      <c r="G73" s="1318">
        <v>0</v>
      </c>
      <c r="H73" s="1318">
        <v>336300</v>
      </c>
    </row>
    <row r="74" spans="4:8">
      <c r="D74" s="1317" t="s">
        <v>153</v>
      </c>
      <c r="E74" s="1318">
        <v>0</v>
      </c>
      <c r="F74" s="1318">
        <v>102556</v>
      </c>
      <c r="G74" s="1318">
        <v>0</v>
      </c>
      <c r="H74" s="1318">
        <v>17898</v>
      </c>
    </row>
    <row r="75" spans="4:8">
      <c r="D75" s="1317" t="s">
        <v>469</v>
      </c>
      <c r="E75" s="1318">
        <v>0</v>
      </c>
      <c r="F75" s="1318">
        <v>0</v>
      </c>
      <c r="G75" s="1318">
        <v>0</v>
      </c>
      <c r="H75" s="1318">
        <v>95344</v>
      </c>
    </row>
    <row r="76" spans="4:8">
      <c r="D76" s="1317" t="s">
        <v>665</v>
      </c>
      <c r="E76" s="1318">
        <v>0</v>
      </c>
      <c r="F76" s="1318">
        <v>366473</v>
      </c>
      <c r="G76" s="1318">
        <v>0</v>
      </c>
      <c r="H76" s="1318">
        <v>447447</v>
      </c>
    </row>
    <row r="77" spans="4:8">
      <c r="D77" s="1317" t="s">
        <v>184</v>
      </c>
      <c r="E77" s="1318">
        <v>0</v>
      </c>
      <c r="F77" s="1318">
        <v>54442</v>
      </c>
      <c r="G77" s="1318">
        <v>0</v>
      </c>
      <c r="H77" s="1318">
        <v>0</v>
      </c>
    </row>
    <row r="78" spans="4:8">
      <c r="D78" s="1317" t="s">
        <v>188</v>
      </c>
      <c r="E78" s="1318">
        <v>0</v>
      </c>
      <c r="F78" s="1318">
        <v>6710</v>
      </c>
      <c r="G78" s="1318">
        <v>0</v>
      </c>
      <c r="H78" s="1318">
        <v>0</v>
      </c>
    </row>
    <row r="79" spans="4:8">
      <c r="D79" s="1317" t="s">
        <v>195</v>
      </c>
      <c r="E79" s="1318">
        <v>0</v>
      </c>
      <c r="F79" s="1318">
        <v>6148401</v>
      </c>
      <c r="G79" s="1318">
        <v>0</v>
      </c>
      <c r="H79" s="1318">
        <v>3476359.5</v>
      </c>
    </row>
    <row r="80" spans="4:8">
      <c r="D80" s="1317" t="s">
        <v>473</v>
      </c>
      <c r="E80" s="1318">
        <v>0</v>
      </c>
      <c r="F80" s="1318">
        <v>0</v>
      </c>
      <c r="G80" s="1318">
        <v>0</v>
      </c>
      <c r="H80" s="1318">
        <v>28611</v>
      </c>
    </row>
    <row r="81" spans="4:8">
      <c r="D81" s="1317" t="s">
        <v>200</v>
      </c>
      <c r="E81" s="1318">
        <v>0</v>
      </c>
      <c r="F81" s="1318">
        <v>2096163</v>
      </c>
      <c r="G81" s="1318">
        <v>0</v>
      </c>
      <c r="H81" s="1318">
        <v>1191319</v>
      </c>
    </row>
    <row r="82" spans="4:8">
      <c r="D82" s="1317" t="s">
        <v>202</v>
      </c>
      <c r="E82" s="1318">
        <v>0</v>
      </c>
      <c r="F82" s="1318">
        <v>635040</v>
      </c>
      <c r="G82" s="1318">
        <v>0</v>
      </c>
      <c r="H82" s="1318">
        <v>2736592</v>
      </c>
    </row>
    <row r="83" spans="4:8">
      <c r="D83" s="1317" t="s">
        <v>208</v>
      </c>
      <c r="E83" s="1318">
        <v>0</v>
      </c>
      <c r="F83" s="1318">
        <v>9718147</v>
      </c>
      <c r="G83" s="1318">
        <v>0</v>
      </c>
      <c r="H83" s="1318">
        <v>0</v>
      </c>
    </row>
    <row r="84" spans="4:8">
      <c r="D84" s="1317" t="s">
        <v>671</v>
      </c>
      <c r="E84" s="1318">
        <v>0</v>
      </c>
      <c r="F84" s="1318">
        <v>55663</v>
      </c>
      <c r="G84" s="1318">
        <v>0</v>
      </c>
      <c r="H84" s="1318">
        <v>54944</v>
      </c>
    </row>
    <row r="85" spans="4:8">
      <c r="D85" s="1317" t="s">
        <v>224</v>
      </c>
      <c r="E85" s="1318">
        <v>0</v>
      </c>
      <c r="F85" s="1318">
        <v>30472</v>
      </c>
      <c r="G85" s="1318">
        <v>0</v>
      </c>
      <c r="H85" s="1318">
        <v>0</v>
      </c>
    </row>
    <row r="86" spans="4:8">
      <c r="D86" s="1317" t="s">
        <v>480</v>
      </c>
      <c r="E86" s="1318">
        <v>0</v>
      </c>
      <c r="F86" s="1318">
        <v>0</v>
      </c>
      <c r="G86" s="1318">
        <v>0</v>
      </c>
      <c r="H86" s="1318">
        <v>1737970</v>
      </c>
    </row>
    <row r="87" spans="4:8">
      <c r="D87" s="1317" t="s">
        <v>256</v>
      </c>
      <c r="E87" s="1318">
        <v>0</v>
      </c>
      <c r="F87" s="1318">
        <v>3172</v>
      </c>
      <c r="G87" s="1318">
        <v>0</v>
      </c>
      <c r="H87" s="1318">
        <v>34438</v>
      </c>
    </row>
    <row r="88" spans="4:8">
      <c r="D88" s="1317" t="s">
        <v>492</v>
      </c>
      <c r="E88" s="1318">
        <v>0</v>
      </c>
      <c r="F88" s="1318">
        <v>0</v>
      </c>
      <c r="G88" s="1318">
        <v>0</v>
      </c>
      <c r="H88" s="1318">
        <v>51416</v>
      </c>
    </row>
    <row r="89" spans="4:8">
      <c r="D89" s="1317" t="s">
        <v>266</v>
      </c>
      <c r="E89" s="1318">
        <v>0</v>
      </c>
      <c r="F89" s="1318">
        <v>36128</v>
      </c>
      <c r="G89" s="1318">
        <v>0</v>
      </c>
      <c r="H89" s="1318">
        <v>72740</v>
      </c>
    </row>
    <row r="90" spans="4:8">
      <c r="D90" s="1317" t="s">
        <v>497</v>
      </c>
      <c r="E90" s="1318">
        <v>0</v>
      </c>
      <c r="F90" s="1318">
        <v>0</v>
      </c>
      <c r="G90" s="1318">
        <v>0</v>
      </c>
      <c r="H90" s="1318">
        <v>83195</v>
      </c>
    </row>
    <row r="91" spans="4:8">
      <c r="D91" s="1317" t="s">
        <v>696</v>
      </c>
      <c r="E91" s="1318">
        <v>0</v>
      </c>
      <c r="F91" s="1318">
        <v>26432</v>
      </c>
      <c r="G91" s="1318">
        <v>0</v>
      </c>
      <c r="H91" s="1318">
        <v>49210</v>
      </c>
    </row>
    <row r="92" spans="4:8">
      <c r="D92" s="1317" t="s">
        <v>296</v>
      </c>
      <c r="E92" s="1318">
        <v>0</v>
      </c>
      <c r="F92" s="1318">
        <v>8142548</v>
      </c>
      <c r="G92" s="1318">
        <v>0</v>
      </c>
      <c r="H92" s="1318">
        <v>6496829.5</v>
      </c>
    </row>
    <row r="93" spans="4:8">
      <c r="D93" s="1317" t="s">
        <v>700</v>
      </c>
      <c r="E93" s="1318">
        <v>0</v>
      </c>
      <c r="F93" s="1318">
        <v>1495</v>
      </c>
      <c r="G93" s="1318">
        <v>0</v>
      </c>
      <c r="H93" s="1318">
        <v>1495</v>
      </c>
    </row>
    <row r="94" spans="4:8">
      <c r="D94" s="1317" t="s">
        <v>501</v>
      </c>
      <c r="E94" s="1318">
        <v>0</v>
      </c>
      <c r="F94" s="1318">
        <v>0</v>
      </c>
      <c r="G94" s="1318">
        <v>0</v>
      </c>
      <c r="H94" s="1318">
        <v>51975</v>
      </c>
    </row>
    <row r="95" spans="4:8">
      <c r="D95" s="1317" t="s">
        <v>503</v>
      </c>
      <c r="E95" s="1318">
        <v>0</v>
      </c>
      <c r="F95" s="1318">
        <v>0</v>
      </c>
      <c r="G95" s="1318">
        <v>0</v>
      </c>
      <c r="H95" s="1318">
        <v>55544</v>
      </c>
    </row>
    <row r="96" spans="4:8">
      <c r="D96" s="1317" t="s">
        <v>314</v>
      </c>
      <c r="E96" s="1318">
        <v>0</v>
      </c>
      <c r="F96" s="1318">
        <v>1127420</v>
      </c>
      <c r="G96" s="1318">
        <v>0</v>
      </c>
      <c r="H96" s="1318">
        <v>187572</v>
      </c>
    </row>
    <row r="97" spans="4:8">
      <c r="D97" s="1317" t="s">
        <v>519</v>
      </c>
      <c r="E97" s="1318">
        <v>0</v>
      </c>
      <c r="F97" s="1318">
        <v>0</v>
      </c>
      <c r="G97" s="1318">
        <v>0</v>
      </c>
      <c r="H97" s="1318">
        <v>23718</v>
      </c>
    </row>
    <row r="98" spans="4:8">
      <c r="D98" s="1317" t="s">
        <v>506</v>
      </c>
      <c r="E98" s="1318">
        <v>0</v>
      </c>
      <c r="F98" s="1318">
        <v>0</v>
      </c>
      <c r="G98" s="1318">
        <v>0</v>
      </c>
      <c r="H98" s="1318">
        <v>3622</v>
      </c>
    </row>
    <row r="99" spans="4:8">
      <c r="D99" s="1317" t="s">
        <v>319</v>
      </c>
      <c r="E99" s="1318">
        <v>0</v>
      </c>
      <c r="F99" s="1318">
        <v>879467</v>
      </c>
      <c r="G99" s="1318">
        <v>0</v>
      </c>
      <c r="H99" s="1318">
        <v>658176</v>
      </c>
    </row>
    <row r="100" spans="4:8">
      <c r="D100" s="1317" t="s">
        <v>717</v>
      </c>
      <c r="E100" s="1318">
        <v>0</v>
      </c>
      <c r="F100" s="1318">
        <v>85602</v>
      </c>
      <c r="G100" s="1318">
        <v>0</v>
      </c>
      <c r="H100" s="1318">
        <v>48316</v>
      </c>
    </row>
    <row r="101" spans="4:8">
      <c r="D101" s="1317" t="s">
        <v>508</v>
      </c>
      <c r="E101" s="1318">
        <v>0</v>
      </c>
      <c r="F101" s="1318">
        <v>0</v>
      </c>
      <c r="G101" s="1318">
        <v>1120</v>
      </c>
      <c r="H101" s="1318">
        <v>0</v>
      </c>
    </row>
    <row r="102" spans="4:8">
      <c r="D102" s="1317" t="s">
        <v>511</v>
      </c>
      <c r="E102" s="1318">
        <v>0</v>
      </c>
      <c r="F102" s="1318">
        <v>0</v>
      </c>
      <c r="G102" s="1318">
        <v>0</v>
      </c>
      <c r="H102" s="1318">
        <v>32400</v>
      </c>
    </row>
    <row r="103" spans="4:8">
      <c r="D103" s="1317" t="s">
        <v>721</v>
      </c>
      <c r="E103" s="1318">
        <v>0</v>
      </c>
      <c r="F103" s="1318">
        <v>0</v>
      </c>
      <c r="G103" s="1318">
        <v>0</v>
      </c>
      <c r="H103" s="1318">
        <v>303693</v>
      </c>
    </row>
    <row r="104" spans="4:8">
      <c r="D104" s="1317" t="s">
        <v>515</v>
      </c>
      <c r="E104" s="1318">
        <v>0</v>
      </c>
      <c r="F104" s="1318">
        <v>0</v>
      </c>
      <c r="G104" s="1318">
        <v>0</v>
      </c>
      <c r="H104" s="1318">
        <v>8510361.5</v>
      </c>
    </row>
    <row r="105" spans="4:8">
      <c r="D105" s="1317" t="s">
        <v>347</v>
      </c>
      <c r="E105" s="1318">
        <v>0</v>
      </c>
      <c r="F105" s="1318">
        <v>137081</v>
      </c>
      <c r="G105" s="1318">
        <v>0</v>
      </c>
      <c r="H105" s="1318">
        <v>127269</v>
      </c>
    </row>
    <row r="106" spans="4:8">
      <c r="D106" s="1317" t="s">
        <v>352</v>
      </c>
      <c r="E106" s="1318">
        <v>0</v>
      </c>
      <c r="F106" s="1318">
        <v>9167</v>
      </c>
      <c r="G106" s="1318">
        <v>0</v>
      </c>
      <c r="H106" s="1318">
        <v>0</v>
      </c>
    </row>
    <row r="107" spans="4:8">
      <c r="D107" s="1317" t="s">
        <v>353</v>
      </c>
      <c r="E107" s="1318">
        <v>0</v>
      </c>
      <c r="F107" s="1318">
        <v>3584869</v>
      </c>
      <c r="G107" s="1318">
        <v>0</v>
      </c>
      <c r="H107" s="1318">
        <v>2288867</v>
      </c>
    </row>
    <row r="108" spans="4:8">
      <c r="D108" s="1317" t="s">
        <v>354</v>
      </c>
      <c r="E108" s="1318">
        <v>0</v>
      </c>
      <c r="F108" s="1318">
        <v>145449</v>
      </c>
      <c r="G108" s="1318">
        <v>0</v>
      </c>
      <c r="H108" s="1318">
        <v>194140</v>
      </c>
    </row>
    <row r="109" spans="4:8">
      <c r="D109" s="1317" t="s">
        <v>358</v>
      </c>
      <c r="E109" s="1318">
        <v>0</v>
      </c>
      <c r="F109" s="1318">
        <v>16225</v>
      </c>
      <c r="G109" s="1318">
        <v>0</v>
      </c>
      <c r="H109" s="1318">
        <v>0</v>
      </c>
    </row>
    <row r="110" spans="4:8">
      <c r="D110" s="1317" t="s">
        <v>365</v>
      </c>
      <c r="E110" s="1318">
        <v>0</v>
      </c>
      <c r="F110" s="1318">
        <v>64723</v>
      </c>
      <c r="G110" s="1318">
        <v>0</v>
      </c>
      <c r="H110" s="1318">
        <v>192538</v>
      </c>
    </row>
    <row r="111" spans="4:8">
      <c r="D111" s="1317" t="s">
        <v>372</v>
      </c>
      <c r="E111" s="1318">
        <v>0</v>
      </c>
      <c r="F111" s="1318">
        <v>351168</v>
      </c>
      <c r="G111" s="1318">
        <v>0</v>
      </c>
      <c r="H111" s="1318">
        <v>267860</v>
      </c>
    </row>
    <row r="112" spans="4:8">
      <c r="D112" s="1317" t="s">
        <v>387</v>
      </c>
      <c r="E112" s="1318">
        <v>0</v>
      </c>
      <c r="F112" s="1318">
        <v>553184</v>
      </c>
      <c r="G112" s="1318">
        <v>0</v>
      </c>
      <c r="H112" s="1318">
        <v>303024</v>
      </c>
    </row>
    <row r="113" spans="3:8">
      <c r="D113" s="1317" t="s">
        <v>739</v>
      </c>
      <c r="E113" s="1318">
        <v>0</v>
      </c>
      <c r="F113" s="1318">
        <v>88755</v>
      </c>
      <c r="G113" s="1318">
        <v>0</v>
      </c>
      <c r="H113" s="1318">
        <v>90301</v>
      </c>
    </row>
    <row r="114" spans="3:8">
      <c r="D114" s="1317" t="s">
        <v>397</v>
      </c>
      <c r="E114" s="1318">
        <v>0</v>
      </c>
      <c r="F114" s="1318">
        <v>2274218</v>
      </c>
      <c r="G114" s="1318">
        <v>0</v>
      </c>
      <c r="H114" s="1318">
        <v>1276901</v>
      </c>
    </row>
    <row r="115" spans="3:8">
      <c r="D115" s="1317" t="s">
        <v>529</v>
      </c>
      <c r="E115" s="1318">
        <v>0</v>
      </c>
      <c r="F115" s="1318">
        <v>0</v>
      </c>
      <c r="G115" s="1318">
        <v>0</v>
      </c>
      <c r="H115" s="1318">
        <v>51588</v>
      </c>
    </row>
    <row r="116" spans="3:8">
      <c r="D116" s="1317" t="s">
        <v>404</v>
      </c>
      <c r="E116" s="1318">
        <v>0</v>
      </c>
      <c r="F116" s="1318">
        <v>8130</v>
      </c>
      <c r="G116" s="1318">
        <v>0</v>
      </c>
      <c r="H116" s="1318">
        <v>0</v>
      </c>
    </row>
    <row r="117" spans="3:8">
      <c r="D117" s="1317" t="s">
        <v>405</v>
      </c>
      <c r="E117" s="1318">
        <v>0</v>
      </c>
      <c r="F117" s="1318">
        <v>4434</v>
      </c>
      <c r="G117" s="1318">
        <v>0</v>
      </c>
      <c r="H117" s="1318">
        <v>0</v>
      </c>
    </row>
    <row r="118" spans="3:8">
      <c r="D118" s="1317" t="s">
        <v>406</v>
      </c>
      <c r="E118" s="1318">
        <v>0</v>
      </c>
      <c r="F118" s="1318">
        <v>699844</v>
      </c>
      <c r="G118" s="1318">
        <v>0</v>
      </c>
      <c r="H118" s="1318">
        <v>615157</v>
      </c>
    </row>
    <row r="119" spans="3:8">
      <c r="D119" s="1317" t="s">
        <v>407</v>
      </c>
      <c r="E119" s="1318">
        <v>0</v>
      </c>
      <c r="F119" s="1318">
        <v>7780</v>
      </c>
      <c r="G119" s="1318">
        <v>0</v>
      </c>
      <c r="H119" s="1318">
        <v>0</v>
      </c>
    </row>
    <row r="120" spans="3:8">
      <c r="D120" s="1317" t="s">
        <v>536</v>
      </c>
      <c r="E120" s="1318">
        <v>0</v>
      </c>
      <c r="F120" s="1318">
        <v>0</v>
      </c>
      <c r="G120" s="1318">
        <v>0</v>
      </c>
      <c r="H120" s="1318">
        <v>1343823</v>
      </c>
    </row>
    <row r="121" spans="3:8">
      <c r="D121" s="1317" t="s">
        <v>537</v>
      </c>
      <c r="E121" s="1318">
        <v>0</v>
      </c>
      <c r="F121" s="1318">
        <v>0</v>
      </c>
      <c r="G121" s="1318">
        <v>0</v>
      </c>
      <c r="H121" s="1318">
        <v>621226</v>
      </c>
    </row>
    <row r="122" spans="3:8">
      <c r="D122" s="1317" t="s">
        <v>744</v>
      </c>
      <c r="E122" s="1318">
        <v>0</v>
      </c>
      <c r="F122" s="1318">
        <v>226800</v>
      </c>
      <c r="G122" s="1318">
        <v>0</v>
      </c>
      <c r="H122" s="1318">
        <v>226800</v>
      </c>
    </row>
    <row r="123" spans="3:8">
      <c r="D123" s="1317" t="s">
        <v>540</v>
      </c>
      <c r="E123" s="1318">
        <v>0</v>
      </c>
      <c r="F123" s="1318">
        <v>0</v>
      </c>
      <c r="G123" s="1318">
        <v>0</v>
      </c>
      <c r="H123" s="1318">
        <v>22041</v>
      </c>
    </row>
    <row r="124" spans="3:8">
      <c r="D124" s="1317" t="s">
        <v>1969</v>
      </c>
      <c r="E124" s="1318">
        <v>0</v>
      </c>
      <c r="F124" s="1318">
        <v>142942</v>
      </c>
      <c r="G124" s="1318">
        <v>0</v>
      </c>
      <c r="H124" s="1318">
        <v>0</v>
      </c>
    </row>
    <row r="125" spans="3:8">
      <c r="C125" s="1317" t="s">
        <v>1116</v>
      </c>
      <c r="E125" s="1318">
        <v>0</v>
      </c>
      <c r="F125" s="1318">
        <v>50084152.799999997</v>
      </c>
      <c r="G125" s="1318">
        <v>46000</v>
      </c>
      <c r="H125" s="1318">
        <v>41035102.450000003</v>
      </c>
    </row>
    <row r="126" spans="3:8">
      <c r="C126" s="1317" t="s">
        <v>562</v>
      </c>
      <c r="D126" s="1317" t="s">
        <v>19</v>
      </c>
      <c r="E126" s="1318">
        <v>0</v>
      </c>
      <c r="F126" s="1318">
        <v>892701</v>
      </c>
      <c r="G126" s="1318">
        <v>0</v>
      </c>
      <c r="H126" s="1318">
        <v>0</v>
      </c>
    </row>
    <row r="127" spans="3:8">
      <c r="D127" s="1317" t="s">
        <v>24</v>
      </c>
      <c r="E127" s="1318">
        <v>0</v>
      </c>
      <c r="F127" s="1318">
        <v>6800</v>
      </c>
      <c r="G127" s="1318">
        <v>0</v>
      </c>
      <c r="H127" s="1318">
        <v>0</v>
      </c>
    </row>
    <row r="128" spans="3:8">
      <c r="D128" s="1317" t="s">
        <v>31</v>
      </c>
      <c r="E128" s="1318">
        <v>0</v>
      </c>
      <c r="F128" s="1318">
        <v>222332</v>
      </c>
      <c r="G128" s="1318">
        <v>0</v>
      </c>
      <c r="H128" s="1318">
        <v>0</v>
      </c>
    </row>
    <row r="129" spans="4:8">
      <c r="D129" s="1317" t="s">
        <v>427</v>
      </c>
      <c r="E129" s="1318">
        <v>0</v>
      </c>
      <c r="F129" s="1318">
        <v>0</v>
      </c>
      <c r="G129" s="1318">
        <v>0</v>
      </c>
      <c r="H129" s="1318">
        <v>2291</v>
      </c>
    </row>
    <row r="130" spans="4:8">
      <c r="D130" s="1317" t="s">
        <v>37</v>
      </c>
      <c r="E130" s="1318">
        <v>0</v>
      </c>
      <c r="F130" s="1318">
        <v>46846</v>
      </c>
      <c r="G130" s="1318">
        <v>0</v>
      </c>
      <c r="H130" s="1318">
        <v>0</v>
      </c>
    </row>
    <row r="131" spans="4:8">
      <c r="D131" s="1317" t="s">
        <v>41</v>
      </c>
      <c r="E131" s="1318">
        <v>0</v>
      </c>
      <c r="F131" s="1318">
        <v>243500</v>
      </c>
      <c r="G131" s="1318">
        <v>0</v>
      </c>
      <c r="H131" s="1318">
        <v>225000</v>
      </c>
    </row>
    <row r="132" spans="4:8">
      <c r="D132" s="1317" t="s">
        <v>439</v>
      </c>
      <c r="E132" s="1318">
        <v>0</v>
      </c>
      <c r="F132" s="1318">
        <v>0</v>
      </c>
      <c r="G132" s="1318">
        <v>0</v>
      </c>
      <c r="H132" s="1318">
        <v>35042</v>
      </c>
    </row>
    <row r="133" spans="4:8">
      <c r="D133" s="1317" t="s">
        <v>62</v>
      </c>
      <c r="E133" s="1318">
        <v>0</v>
      </c>
      <c r="F133" s="1318">
        <v>7300</v>
      </c>
      <c r="G133" s="1318">
        <v>0</v>
      </c>
      <c r="H133" s="1318">
        <v>0</v>
      </c>
    </row>
    <row r="134" spans="4:8">
      <c r="D134" s="1317" t="s">
        <v>108</v>
      </c>
      <c r="E134" s="1318">
        <v>0</v>
      </c>
      <c r="F134" s="1318">
        <v>49644.76</v>
      </c>
      <c r="G134" s="1318">
        <v>188929.24</v>
      </c>
      <c r="H134" s="1318">
        <v>0</v>
      </c>
    </row>
    <row r="135" spans="4:8">
      <c r="D135" s="1317" t="s">
        <v>641</v>
      </c>
      <c r="E135" s="1318">
        <v>0</v>
      </c>
      <c r="F135" s="1318">
        <v>303501</v>
      </c>
      <c r="G135" s="1318">
        <v>0</v>
      </c>
      <c r="H135" s="1318">
        <v>310756</v>
      </c>
    </row>
    <row r="136" spans="4:8">
      <c r="D136" s="1317" t="s">
        <v>132</v>
      </c>
      <c r="E136" s="1318">
        <v>0</v>
      </c>
      <c r="F136" s="1318">
        <v>83450</v>
      </c>
      <c r="G136" s="1318">
        <v>0</v>
      </c>
      <c r="H136" s="1318">
        <v>0</v>
      </c>
    </row>
    <row r="137" spans="4:8">
      <c r="D137" s="1317" t="s">
        <v>139</v>
      </c>
      <c r="E137" s="1318">
        <v>0</v>
      </c>
      <c r="F137" s="1318">
        <v>175820</v>
      </c>
      <c r="G137" s="1318">
        <v>0</v>
      </c>
      <c r="H137" s="1318">
        <v>0</v>
      </c>
    </row>
    <row r="138" spans="4:8">
      <c r="D138" s="1317" t="s">
        <v>459</v>
      </c>
      <c r="E138" s="1318">
        <v>0</v>
      </c>
      <c r="F138" s="1318">
        <v>76500</v>
      </c>
      <c r="G138" s="1318">
        <v>0</v>
      </c>
      <c r="H138" s="1318">
        <v>30000</v>
      </c>
    </row>
    <row r="139" spans="4:8">
      <c r="D139" s="1317" t="s">
        <v>144</v>
      </c>
      <c r="E139" s="1318">
        <v>0</v>
      </c>
      <c r="F139" s="1318">
        <v>7608</v>
      </c>
      <c r="G139" s="1318">
        <v>0</v>
      </c>
      <c r="H139" s="1318">
        <v>0</v>
      </c>
    </row>
    <row r="140" spans="4:8">
      <c r="D140" s="1317" t="s">
        <v>185</v>
      </c>
      <c r="E140" s="1318">
        <v>0</v>
      </c>
      <c r="F140" s="1318">
        <v>2950</v>
      </c>
      <c r="G140" s="1318">
        <v>0</v>
      </c>
      <c r="H140" s="1318">
        <v>0</v>
      </c>
    </row>
    <row r="141" spans="4:8">
      <c r="D141" s="1317" t="s">
        <v>186</v>
      </c>
      <c r="E141" s="1318">
        <v>0</v>
      </c>
      <c r="F141" s="1318">
        <v>23502</v>
      </c>
      <c r="G141" s="1318">
        <v>0</v>
      </c>
      <c r="H141" s="1318">
        <v>28497</v>
      </c>
    </row>
    <row r="142" spans="4:8">
      <c r="D142" s="1317" t="s">
        <v>190</v>
      </c>
      <c r="E142" s="1318">
        <v>0</v>
      </c>
      <c r="F142" s="1318">
        <v>6434</v>
      </c>
      <c r="G142" s="1318">
        <v>0</v>
      </c>
      <c r="H142" s="1318">
        <v>0</v>
      </c>
    </row>
    <row r="143" spans="4:8">
      <c r="D143" s="1317" t="s">
        <v>193</v>
      </c>
      <c r="E143" s="1318">
        <v>0</v>
      </c>
      <c r="F143" s="1318">
        <v>21679</v>
      </c>
      <c r="G143" s="1318">
        <v>0</v>
      </c>
      <c r="H143" s="1318">
        <v>0</v>
      </c>
    </row>
    <row r="144" spans="4:8">
      <c r="D144" s="1317" t="s">
        <v>197</v>
      </c>
      <c r="E144" s="1318">
        <v>0</v>
      </c>
      <c r="F144" s="1318">
        <v>2463</v>
      </c>
      <c r="G144" s="1318">
        <v>0</v>
      </c>
      <c r="H144" s="1318">
        <v>0</v>
      </c>
    </row>
    <row r="145" spans="4:8">
      <c r="D145" s="1317" t="s">
        <v>206</v>
      </c>
      <c r="E145" s="1318">
        <v>0</v>
      </c>
      <c r="F145" s="1318">
        <v>49045</v>
      </c>
      <c r="G145" s="1318">
        <v>0</v>
      </c>
      <c r="H145" s="1318">
        <v>44653</v>
      </c>
    </row>
    <row r="146" spans="4:8">
      <c r="D146" s="1317" t="s">
        <v>215</v>
      </c>
      <c r="E146" s="1318">
        <v>18479</v>
      </c>
      <c r="F146" s="1318">
        <v>0</v>
      </c>
      <c r="G146" s="1318">
        <v>0</v>
      </c>
      <c r="H146" s="1318">
        <v>0</v>
      </c>
    </row>
    <row r="147" spans="4:8">
      <c r="D147" s="1317" t="s">
        <v>216</v>
      </c>
      <c r="E147" s="1318">
        <v>0</v>
      </c>
      <c r="F147" s="1318">
        <v>15790</v>
      </c>
      <c r="G147" s="1318">
        <v>0</v>
      </c>
      <c r="H147" s="1318">
        <v>15950</v>
      </c>
    </row>
    <row r="148" spans="4:8">
      <c r="D148" s="1317" t="s">
        <v>477</v>
      </c>
      <c r="E148" s="1318">
        <v>0</v>
      </c>
      <c r="F148" s="1318">
        <v>0</v>
      </c>
      <c r="G148" s="1318">
        <v>0</v>
      </c>
      <c r="H148" s="1318">
        <v>21760</v>
      </c>
    </row>
    <row r="149" spans="4:8">
      <c r="D149" s="1317" t="s">
        <v>228</v>
      </c>
      <c r="E149" s="1318">
        <v>0</v>
      </c>
      <c r="F149" s="1318">
        <v>0</v>
      </c>
      <c r="G149" s="1318">
        <v>0</v>
      </c>
      <c r="H149" s="1318">
        <v>725582</v>
      </c>
    </row>
    <row r="150" spans="4:8">
      <c r="D150" s="1317" t="s">
        <v>479</v>
      </c>
      <c r="E150" s="1318">
        <v>0</v>
      </c>
      <c r="F150" s="1318">
        <v>0</v>
      </c>
      <c r="G150" s="1318">
        <v>0</v>
      </c>
      <c r="H150" s="1318">
        <v>36014</v>
      </c>
    </row>
    <row r="151" spans="4:8">
      <c r="D151" s="1317" t="s">
        <v>229</v>
      </c>
      <c r="E151" s="1318">
        <v>0</v>
      </c>
      <c r="F151" s="1318">
        <v>14593</v>
      </c>
      <c r="G151" s="1318">
        <v>0</v>
      </c>
      <c r="H151" s="1318">
        <v>0</v>
      </c>
    </row>
    <row r="152" spans="4:8">
      <c r="D152" s="1317" t="s">
        <v>232</v>
      </c>
      <c r="E152" s="1318">
        <v>0</v>
      </c>
      <c r="F152" s="1318">
        <v>236422</v>
      </c>
      <c r="G152" s="1318">
        <v>0</v>
      </c>
      <c r="H152" s="1318">
        <v>0</v>
      </c>
    </row>
    <row r="153" spans="4:8">
      <c r="D153" s="1317" t="s">
        <v>233</v>
      </c>
      <c r="E153" s="1318">
        <v>0</v>
      </c>
      <c r="F153" s="1318">
        <v>22370</v>
      </c>
      <c r="G153" s="1318">
        <v>0</v>
      </c>
      <c r="H153" s="1318">
        <v>63650</v>
      </c>
    </row>
    <row r="154" spans="4:8">
      <c r="D154" s="1317" t="s">
        <v>237</v>
      </c>
      <c r="E154" s="1318">
        <v>0</v>
      </c>
      <c r="F154" s="1318">
        <v>4490</v>
      </c>
      <c r="G154" s="1318">
        <v>0</v>
      </c>
      <c r="H154" s="1318">
        <v>10920</v>
      </c>
    </row>
    <row r="155" spans="4:8">
      <c r="D155" s="1317" t="s">
        <v>257</v>
      </c>
      <c r="E155" s="1318">
        <v>0</v>
      </c>
      <c r="F155" s="1318">
        <v>274949</v>
      </c>
      <c r="G155" s="1318">
        <v>0</v>
      </c>
      <c r="H155" s="1318">
        <v>244340</v>
      </c>
    </row>
    <row r="156" spans="4:8">
      <c r="D156" s="1317" t="s">
        <v>683</v>
      </c>
      <c r="E156" s="1318">
        <v>0</v>
      </c>
      <c r="F156" s="1318">
        <v>423402</v>
      </c>
      <c r="G156" s="1318">
        <v>0</v>
      </c>
      <c r="H156" s="1318">
        <v>407871</v>
      </c>
    </row>
    <row r="157" spans="4:8">
      <c r="D157" s="1317" t="s">
        <v>259</v>
      </c>
      <c r="E157" s="1318">
        <v>0</v>
      </c>
      <c r="F157" s="1318">
        <v>523713</v>
      </c>
      <c r="G157" s="1318">
        <v>0</v>
      </c>
      <c r="H157" s="1318">
        <v>544798</v>
      </c>
    </row>
    <row r="158" spans="4:8">
      <c r="D158" s="1317" t="s">
        <v>262</v>
      </c>
      <c r="E158" s="1318">
        <v>0</v>
      </c>
      <c r="F158" s="1318">
        <v>81000</v>
      </c>
      <c r="G158" s="1318">
        <v>0</v>
      </c>
      <c r="H158" s="1318">
        <v>0</v>
      </c>
    </row>
    <row r="159" spans="4:8">
      <c r="D159" s="1317" t="s">
        <v>264</v>
      </c>
      <c r="E159" s="1318">
        <v>0</v>
      </c>
      <c r="F159" s="1318">
        <v>4956590</v>
      </c>
      <c r="G159" s="1318">
        <v>0</v>
      </c>
      <c r="H159" s="1318">
        <v>6010670</v>
      </c>
    </row>
    <row r="160" spans="4:8">
      <c r="D160" s="1317" t="s">
        <v>317</v>
      </c>
      <c r="E160" s="1318">
        <v>5079</v>
      </c>
      <c r="F160" s="1318">
        <v>0</v>
      </c>
      <c r="G160" s="1318">
        <v>0</v>
      </c>
      <c r="H160" s="1318">
        <v>0</v>
      </c>
    </row>
    <row r="161" spans="1:8">
      <c r="D161" s="1317" t="s">
        <v>307</v>
      </c>
      <c r="E161" s="1318">
        <v>0</v>
      </c>
      <c r="F161" s="1318">
        <v>51508</v>
      </c>
      <c r="G161" s="1318">
        <v>0</v>
      </c>
      <c r="H161" s="1318">
        <v>0</v>
      </c>
    </row>
    <row r="162" spans="1:8">
      <c r="D162" s="1317" t="s">
        <v>331</v>
      </c>
      <c r="E162" s="1318">
        <v>0</v>
      </c>
      <c r="F162" s="1318">
        <v>2600</v>
      </c>
      <c r="G162" s="1318">
        <v>0</v>
      </c>
      <c r="H162" s="1318">
        <v>0</v>
      </c>
    </row>
    <row r="163" spans="1:8">
      <c r="D163" s="1317" t="s">
        <v>514</v>
      </c>
      <c r="E163" s="1318">
        <v>0</v>
      </c>
      <c r="F163" s="1318">
        <v>0</v>
      </c>
      <c r="G163" s="1318">
        <v>4076</v>
      </c>
      <c r="H163" s="1318">
        <v>0</v>
      </c>
    </row>
    <row r="164" spans="1:8">
      <c r="D164" s="1317" t="s">
        <v>346</v>
      </c>
      <c r="E164" s="1318">
        <v>5552</v>
      </c>
      <c r="F164" s="1318">
        <v>0</v>
      </c>
      <c r="G164" s="1318">
        <v>0</v>
      </c>
      <c r="H164" s="1318">
        <v>0</v>
      </c>
    </row>
    <row r="165" spans="1:8">
      <c r="D165" s="1317" t="s">
        <v>385</v>
      </c>
      <c r="E165" s="1318">
        <v>0</v>
      </c>
      <c r="F165" s="1318">
        <v>1579</v>
      </c>
      <c r="G165" s="1318">
        <v>0</v>
      </c>
      <c r="H165" s="1318">
        <v>6466.92</v>
      </c>
    </row>
    <row r="166" spans="1:8">
      <c r="D166" s="1317" t="s">
        <v>396</v>
      </c>
      <c r="E166" s="1318">
        <v>0</v>
      </c>
      <c r="F166" s="1318">
        <v>92820</v>
      </c>
      <c r="G166" s="1318">
        <v>0</v>
      </c>
      <c r="H166" s="1318">
        <v>82180</v>
      </c>
    </row>
    <row r="167" spans="1:8">
      <c r="D167" s="1317" t="s">
        <v>415</v>
      </c>
      <c r="E167" s="1318">
        <v>0</v>
      </c>
      <c r="F167" s="1318">
        <v>52406</v>
      </c>
      <c r="G167" s="1318">
        <v>0</v>
      </c>
      <c r="H167" s="1318">
        <v>0</v>
      </c>
    </row>
    <row r="168" spans="1:8">
      <c r="D168" s="1317" t="s">
        <v>541</v>
      </c>
      <c r="E168" s="1318">
        <v>0</v>
      </c>
      <c r="F168" s="1318">
        <v>0</v>
      </c>
      <c r="G168" s="1318">
        <v>0</v>
      </c>
      <c r="H168" s="1318">
        <v>14337</v>
      </c>
    </row>
    <row r="169" spans="1:8">
      <c r="D169" s="1317" t="s">
        <v>1794</v>
      </c>
      <c r="E169" s="1318">
        <v>0</v>
      </c>
      <c r="F169" s="1318">
        <v>16500</v>
      </c>
      <c r="G169" s="1318">
        <v>0</v>
      </c>
      <c r="H169" s="1318">
        <v>0</v>
      </c>
    </row>
    <row r="170" spans="1:8">
      <c r="D170" s="1317" t="s">
        <v>1857</v>
      </c>
      <c r="E170" s="1318">
        <v>2384</v>
      </c>
      <c r="F170" s="1318">
        <v>0</v>
      </c>
      <c r="G170" s="1318">
        <v>0</v>
      </c>
      <c r="H170" s="1318">
        <v>0</v>
      </c>
    </row>
    <row r="171" spans="1:8">
      <c r="C171" s="1317" t="s">
        <v>1170</v>
      </c>
      <c r="E171" s="1318">
        <v>31494</v>
      </c>
      <c r="F171" s="1318">
        <v>8992807.7599999998</v>
      </c>
      <c r="G171" s="1318">
        <v>193005.24</v>
      </c>
      <c r="H171" s="1318">
        <v>8860777.9199999999</v>
      </c>
    </row>
    <row r="172" spans="1:8">
      <c r="B172" s="1317" t="s">
        <v>1116</v>
      </c>
      <c r="E172" s="1318">
        <v>31494</v>
      </c>
      <c r="F172" s="1318">
        <v>59076960.559999995</v>
      </c>
      <c r="G172" s="1318">
        <v>239005.24</v>
      </c>
      <c r="H172" s="1318">
        <v>49895880.370000005</v>
      </c>
    </row>
    <row r="173" spans="1:8">
      <c r="A173" s="1317" t="s">
        <v>1142</v>
      </c>
      <c r="E173" s="1318">
        <v>31494</v>
      </c>
      <c r="F173" s="1318">
        <v>59076960.559999995</v>
      </c>
      <c r="G173" s="1318">
        <v>239005.24</v>
      </c>
      <c r="H173" s="1318">
        <v>49895880.370000005</v>
      </c>
    </row>
    <row r="174" spans="1:8">
      <c r="A174" s="1317">
        <v>8</v>
      </c>
      <c r="B174" s="1317" t="s">
        <v>566</v>
      </c>
      <c r="C174" s="1317" t="s">
        <v>748</v>
      </c>
      <c r="D174" s="1317" t="s">
        <v>542</v>
      </c>
      <c r="E174" s="1318">
        <v>0</v>
      </c>
      <c r="F174" s="1318">
        <v>0</v>
      </c>
      <c r="G174" s="1318">
        <v>1521769</v>
      </c>
      <c r="H174" s="1318">
        <v>0</v>
      </c>
    </row>
    <row r="175" spans="1:8">
      <c r="C175" s="1317" t="s">
        <v>1171</v>
      </c>
      <c r="E175" s="1318">
        <v>0</v>
      </c>
      <c r="F175" s="1318">
        <v>0</v>
      </c>
      <c r="G175" s="1318">
        <v>1521769</v>
      </c>
      <c r="H175" s="1318">
        <v>0</v>
      </c>
    </row>
    <row r="176" spans="1:8">
      <c r="B176" s="1317" t="s">
        <v>1125</v>
      </c>
      <c r="E176" s="1318">
        <v>0</v>
      </c>
      <c r="F176" s="1318">
        <v>0</v>
      </c>
      <c r="G176" s="1318">
        <v>1521769</v>
      </c>
      <c r="H176" s="1318">
        <v>0</v>
      </c>
    </row>
    <row r="177" spans="2:8">
      <c r="B177" s="1317" t="s">
        <v>585</v>
      </c>
      <c r="C177" s="1317" t="s">
        <v>712</v>
      </c>
      <c r="D177" s="1317" t="s">
        <v>712</v>
      </c>
      <c r="E177" s="1318">
        <v>0</v>
      </c>
      <c r="F177" s="1318">
        <v>0</v>
      </c>
      <c r="G177" s="1318">
        <v>0</v>
      </c>
      <c r="H177" s="1318">
        <v>192300</v>
      </c>
    </row>
    <row r="178" spans="2:8">
      <c r="D178" s="1317" t="s">
        <v>1978</v>
      </c>
      <c r="E178" s="1318">
        <v>0</v>
      </c>
      <c r="F178" s="1318">
        <v>84300</v>
      </c>
      <c r="G178" s="1318">
        <v>0</v>
      </c>
      <c r="H178" s="1318">
        <v>0</v>
      </c>
    </row>
    <row r="179" spans="2:8">
      <c r="C179" s="1317" t="s">
        <v>1172</v>
      </c>
      <c r="E179" s="1318">
        <v>0</v>
      </c>
      <c r="F179" s="1318">
        <v>84300</v>
      </c>
      <c r="G179" s="1318">
        <v>0</v>
      </c>
      <c r="H179" s="1318">
        <v>192300</v>
      </c>
    </row>
    <row r="180" spans="2:8">
      <c r="C180" s="1317" t="s">
        <v>711</v>
      </c>
      <c r="D180" s="1317" t="s">
        <v>320</v>
      </c>
      <c r="E180" s="1318">
        <v>0</v>
      </c>
      <c r="F180" s="1318">
        <v>803704</v>
      </c>
      <c r="G180" s="1318">
        <v>0</v>
      </c>
      <c r="H180" s="1318">
        <v>790876</v>
      </c>
    </row>
    <row r="181" spans="2:8">
      <c r="C181" s="1317" t="s">
        <v>1173</v>
      </c>
      <c r="E181" s="1318">
        <v>0</v>
      </c>
      <c r="F181" s="1318">
        <v>803704</v>
      </c>
      <c r="G181" s="1318">
        <v>0</v>
      </c>
      <c r="H181" s="1318">
        <v>790876</v>
      </c>
    </row>
    <row r="182" spans="2:8">
      <c r="C182" s="1317" t="s">
        <v>585</v>
      </c>
      <c r="D182" s="1317" t="s">
        <v>176</v>
      </c>
      <c r="E182" s="1318">
        <v>0</v>
      </c>
      <c r="F182" s="1318">
        <v>574034.93999999994</v>
      </c>
      <c r="G182" s="1318">
        <v>0</v>
      </c>
      <c r="H182" s="1318">
        <v>262026</v>
      </c>
    </row>
    <row r="183" spans="2:8">
      <c r="C183" s="1317" t="s">
        <v>1114</v>
      </c>
      <c r="E183" s="1318">
        <v>0</v>
      </c>
      <c r="F183" s="1318">
        <v>574034.93999999994</v>
      </c>
      <c r="G183" s="1318">
        <v>0</v>
      </c>
      <c r="H183" s="1318">
        <v>262026</v>
      </c>
    </row>
    <row r="184" spans="2:8">
      <c r="C184" s="1317" t="s">
        <v>603</v>
      </c>
      <c r="D184" s="1317" t="s">
        <v>79</v>
      </c>
      <c r="E184" s="1318">
        <v>0</v>
      </c>
      <c r="F184" s="1318">
        <v>21838</v>
      </c>
      <c r="G184" s="1318">
        <v>0</v>
      </c>
      <c r="H184" s="1318">
        <v>34626</v>
      </c>
    </row>
    <row r="185" spans="2:8">
      <c r="D185" s="1317" t="s">
        <v>610</v>
      </c>
      <c r="E185" s="1318">
        <v>0</v>
      </c>
      <c r="F185" s="1318">
        <v>184366</v>
      </c>
      <c r="G185" s="1318">
        <v>0</v>
      </c>
      <c r="H185" s="1318">
        <v>186660</v>
      </c>
    </row>
    <row r="186" spans="2:8">
      <c r="D186" s="1317" t="s">
        <v>359</v>
      </c>
      <c r="E186" s="1318">
        <v>0</v>
      </c>
      <c r="F186" s="1318">
        <v>10225</v>
      </c>
      <c r="G186" s="1318">
        <v>0</v>
      </c>
      <c r="H186" s="1318">
        <v>10825</v>
      </c>
    </row>
    <row r="187" spans="2:8">
      <c r="D187" s="1317" t="s">
        <v>730</v>
      </c>
      <c r="E187" s="1318">
        <v>0</v>
      </c>
      <c r="F187" s="1318">
        <v>101044</v>
      </c>
      <c r="G187" s="1318">
        <v>0</v>
      </c>
      <c r="H187" s="1318">
        <v>82885</v>
      </c>
    </row>
    <row r="188" spans="2:8">
      <c r="D188" s="1317" t="s">
        <v>731</v>
      </c>
      <c r="E188" s="1318">
        <v>0</v>
      </c>
      <c r="F188" s="1318">
        <v>3900</v>
      </c>
      <c r="G188" s="1318">
        <v>0</v>
      </c>
      <c r="H188" s="1318">
        <v>3900</v>
      </c>
    </row>
    <row r="189" spans="2:8">
      <c r="D189" s="1317" t="s">
        <v>376</v>
      </c>
      <c r="E189" s="1318">
        <v>0</v>
      </c>
      <c r="F189" s="1318">
        <v>5038</v>
      </c>
      <c r="G189" s="1318">
        <v>0</v>
      </c>
      <c r="H189" s="1318">
        <v>6255</v>
      </c>
    </row>
    <row r="190" spans="2:8">
      <c r="D190" s="1317" t="s">
        <v>527</v>
      </c>
      <c r="E190" s="1318">
        <v>0</v>
      </c>
      <c r="F190" s="1318">
        <v>1902</v>
      </c>
      <c r="G190" s="1318">
        <v>0</v>
      </c>
      <c r="H190" s="1318">
        <v>15973</v>
      </c>
    </row>
    <row r="191" spans="2:8">
      <c r="D191" s="1317" t="s">
        <v>732</v>
      </c>
      <c r="E191" s="1318">
        <v>0</v>
      </c>
      <c r="F191" s="1318">
        <v>16393.04</v>
      </c>
      <c r="G191" s="1318">
        <v>0</v>
      </c>
      <c r="H191" s="1318">
        <v>9720.0400000000009</v>
      </c>
    </row>
    <row r="192" spans="2:8">
      <c r="D192" s="1317" t="s">
        <v>733</v>
      </c>
      <c r="E192" s="1318">
        <v>0</v>
      </c>
      <c r="F192" s="1318">
        <v>47856</v>
      </c>
      <c r="G192" s="1318">
        <v>0</v>
      </c>
      <c r="H192" s="1318">
        <v>63570</v>
      </c>
    </row>
    <row r="193" spans="1:8">
      <c r="D193" s="1317" t="s">
        <v>734</v>
      </c>
      <c r="E193" s="1318">
        <v>0</v>
      </c>
      <c r="F193" s="1318">
        <v>1977</v>
      </c>
      <c r="G193" s="1318">
        <v>0</v>
      </c>
      <c r="H193" s="1318">
        <v>1977</v>
      </c>
    </row>
    <row r="194" spans="1:8">
      <c r="D194" s="1317" t="s">
        <v>383</v>
      </c>
      <c r="E194" s="1318">
        <v>0</v>
      </c>
      <c r="F194" s="1318">
        <v>51303.4</v>
      </c>
      <c r="G194" s="1318">
        <v>0</v>
      </c>
      <c r="H194" s="1318">
        <v>814.4</v>
      </c>
    </row>
    <row r="195" spans="1:8">
      <c r="D195" s="1317" t="s">
        <v>381</v>
      </c>
      <c r="E195" s="1318">
        <v>0</v>
      </c>
      <c r="F195" s="1318">
        <v>92000</v>
      </c>
      <c r="G195" s="1318">
        <v>0</v>
      </c>
      <c r="H195" s="1318">
        <v>122000</v>
      </c>
    </row>
    <row r="196" spans="1:8">
      <c r="C196" s="1317" t="s">
        <v>1174</v>
      </c>
      <c r="E196" s="1318">
        <v>0</v>
      </c>
      <c r="F196" s="1318">
        <v>537842.43999999994</v>
      </c>
      <c r="G196" s="1318">
        <v>0</v>
      </c>
      <c r="H196" s="1318">
        <v>539205.43999999994</v>
      </c>
    </row>
    <row r="197" spans="1:8">
      <c r="C197" s="1317" t="s">
        <v>586</v>
      </c>
      <c r="D197" s="1317" t="s">
        <v>428</v>
      </c>
      <c r="E197" s="1318">
        <v>0</v>
      </c>
      <c r="F197" s="1318">
        <v>0</v>
      </c>
      <c r="G197" s="1318">
        <v>0</v>
      </c>
      <c r="H197" s="1318">
        <v>193064</v>
      </c>
    </row>
    <row r="198" spans="1:8">
      <c r="D198" s="1317" t="s">
        <v>494</v>
      </c>
      <c r="E198" s="1318">
        <v>0</v>
      </c>
      <c r="F198" s="1318">
        <v>0</v>
      </c>
      <c r="G198" s="1318">
        <v>0</v>
      </c>
      <c r="H198" s="1318">
        <v>409053</v>
      </c>
    </row>
    <row r="199" spans="1:8">
      <c r="D199" s="1317" t="s">
        <v>504</v>
      </c>
      <c r="E199" s="1318">
        <v>0</v>
      </c>
      <c r="F199" s="1318">
        <v>0</v>
      </c>
      <c r="G199" s="1318">
        <v>0</v>
      </c>
      <c r="H199" s="1318">
        <v>9980</v>
      </c>
    </row>
    <row r="200" spans="1:8">
      <c r="D200" s="1317" t="s">
        <v>528</v>
      </c>
      <c r="E200" s="1318">
        <v>0</v>
      </c>
      <c r="F200" s="1318">
        <v>0</v>
      </c>
      <c r="G200" s="1318">
        <v>0</v>
      </c>
      <c r="H200" s="1318">
        <v>163898</v>
      </c>
    </row>
    <row r="201" spans="1:8">
      <c r="C201" s="1317" t="s">
        <v>1175</v>
      </c>
      <c r="E201" s="1318">
        <v>0</v>
      </c>
      <c r="F201" s="1318">
        <v>0</v>
      </c>
      <c r="G201" s="1318">
        <v>0</v>
      </c>
      <c r="H201" s="1318">
        <v>775995</v>
      </c>
    </row>
    <row r="202" spans="1:8">
      <c r="B202" s="1317" t="s">
        <v>1114</v>
      </c>
      <c r="E202" s="1318">
        <v>0</v>
      </c>
      <c r="F202" s="1318">
        <v>1999881.38</v>
      </c>
      <c r="G202" s="1318">
        <v>0</v>
      </c>
      <c r="H202" s="1318">
        <v>2560402.44</v>
      </c>
    </row>
    <row r="203" spans="1:8">
      <c r="A203" s="1317" t="s">
        <v>1143</v>
      </c>
      <c r="E203" s="1318">
        <v>0</v>
      </c>
      <c r="F203" s="1318">
        <v>1999881.38</v>
      </c>
      <c r="G203" s="1318">
        <v>1521769</v>
      </c>
      <c r="H203" s="1318">
        <v>2560402.44</v>
      </c>
    </row>
    <row r="204" spans="1:8">
      <c r="A204" s="1317">
        <v>9</v>
      </c>
      <c r="B204" s="1317" t="s">
        <v>627</v>
      </c>
      <c r="C204" s="1317" t="s">
        <v>628</v>
      </c>
      <c r="D204" s="1317" t="s">
        <v>93</v>
      </c>
      <c r="E204" s="1318">
        <v>4494616</v>
      </c>
      <c r="F204" s="1318">
        <v>0</v>
      </c>
      <c r="G204" s="1318">
        <v>4161624.7</v>
      </c>
      <c r="H204" s="1318">
        <v>0</v>
      </c>
    </row>
    <row r="205" spans="1:8">
      <c r="D205" s="1317" t="s">
        <v>151</v>
      </c>
      <c r="E205" s="1318">
        <v>0</v>
      </c>
      <c r="F205" s="1318">
        <v>1259230</v>
      </c>
      <c r="G205" s="1318">
        <v>0</v>
      </c>
      <c r="H205" s="1318">
        <v>1265155</v>
      </c>
    </row>
    <row r="206" spans="1:8">
      <c r="D206" s="1317" t="s">
        <v>204</v>
      </c>
      <c r="E206" s="1318">
        <v>0</v>
      </c>
      <c r="F206" s="1318">
        <v>195649</v>
      </c>
      <c r="G206" s="1318">
        <v>0</v>
      </c>
      <c r="H206" s="1318">
        <v>184974</v>
      </c>
    </row>
    <row r="207" spans="1:8">
      <c r="D207" s="1317" t="s">
        <v>274</v>
      </c>
      <c r="E207" s="1318">
        <v>0</v>
      </c>
      <c r="F207" s="1318">
        <v>5136213</v>
      </c>
      <c r="G207" s="1318">
        <v>0</v>
      </c>
      <c r="H207" s="1318">
        <v>4285449</v>
      </c>
    </row>
    <row r="208" spans="1:8">
      <c r="D208" s="1317" t="s">
        <v>695</v>
      </c>
      <c r="E208" s="1318">
        <v>0</v>
      </c>
      <c r="F208" s="1318">
        <v>3212027.7</v>
      </c>
      <c r="G208" s="1318">
        <v>0</v>
      </c>
      <c r="H208" s="1318">
        <v>3142182.7</v>
      </c>
    </row>
    <row r="209" spans="1:8">
      <c r="C209" s="1317" t="s">
        <v>1176</v>
      </c>
      <c r="E209" s="1318">
        <v>4494616</v>
      </c>
      <c r="F209" s="1318">
        <v>9803119.6999999993</v>
      </c>
      <c r="G209" s="1318">
        <v>4161624.7</v>
      </c>
      <c r="H209" s="1318">
        <v>8877760.6999999993</v>
      </c>
    </row>
    <row r="210" spans="1:8">
      <c r="B210" s="1317" t="s">
        <v>1135</v>
      </c>
      <c r="E210" s="1318">
        <v>4494616</v>
      </c>
      <c r="F210" s="1318">
        <v>9803119.6999999993</v>
      </c>
      <c r="G210" s="1318">
        <v>4161624.7</v>
      </c>
      <c r="H210" s="1318">
        <v>8877760.6999999993</v>
      </c>
    </row>
    <row r="211" spans="1:8">
      <c r="A211" s="1317" t="s">
        <v>1144</v>
      </c>
      <c r="E211" s="1318">
        <v>4494616</v>
      </c>
      <c r="F211" s="1318">
        <v>9803119.6999999993</v>
      </c>
      <c r="G211" s="1318">
        <v>4161624.7</v>
      </c>
      <c r="H211" s="1318">
        <v>8877760.6999999993</v>
      </c>
    </row>
    <row r="212" spans="1:8">
      <c r="A212" s="1317">
        <v>10</v>
      </c>
      <c r="B212" s="1317" t="s">
        <v>629</v>
      </c>
      <c r="C212" s="1317" t="s">
        <v>630</v>
      </c>
      <c r="D212" s="1317" t="s">
        <v>97</v>
      </c>
      <c r="E212" s="1318">
        <v>1885458</v>
      </c>
      <c r="F212" s="1318">
        <v>0</v>
      </c>
      <c r="G212" s="1318">
        <v>1830288</v>
      </c>
      <c r="H212" s="1318">
        <v>0</v>
      </c>
    </row>
    <row r="213" spans="1:8">
      <c r="D213" s="1317" t="s">
        <v>631</v>
      </c>
      <c r="E213" s="1318">
        <v>1743151</v>
      </c>
      <c r="F213" s="1318">
        <v>0</v>
      </c>
      <c r="G213" s="1318">
        <v>1578365</v>
      </c>
      <c r="H213" s="1318">
        <v>0</v>
      </c>
    </row>
    <row r="214" spans="1:8">
      <c r="D214" s="1317" t="s">
        <v>632</v>
      </c>
      <c r="E214" s="1318">
        <v>92736</v>
      </c>
      <c r="F214" s="1318">
        <v>0</v>
      </c>
      <c r="G214" s="1318">
        <v>59810</v>
      </c>
      <c r="H214" s="1318">
        <v>0</v>
      </c>
    </row>
    <row r="215" spans="1:8">
      <c r="D215" s="1317" t="s">
        <v>100</v>
      </c>
      <c r="E215" s="1318">
        <v>57979</v>
      </c>
      <c r="F215" s="1318">
        <v>0</v>
      </c>
      <c r="G215" s="1318">
        <v>115548</v>
      </c>
      <c r="H215" s="1318">
        <v>0</v>
      </c>
    </row>
    <row r="216" spans="1:8">
      <c r="D216" s="1317" t="s">
        <v>101</v>
      </c>
      <c r="E216" s="1318">
        <v>24077</v>
      </c>
      <c r="F216" s="1318">
        <v>0</v>
      </c>
      <c r="G216" s="1318">
        <v>23569</v>
      </c>
      <c r="H216" s="1318">
        <v>0</v>
      </c>
    </row>
    <row r="217" spans="1:8">
      <c r="D217" s="1317" t="s">
        <v>633</v>
      </c>
      <c r="E217" s="1318">
        <v>13101740</v>
      </c>
      <c r="F217" s="1318">
        <v>0</v>
      </c>
      <c r="G217" s="1318">
        <v>12624072</v>
      </c>
      <c r="H217" s="1318">
        <v>0</v>
      </c>
    </row>
    <row r="218" spans="1:8">
      <c r="D218" s="1317" t="s">
        <v>103</v>
      </c>
      <c r="E218" s="1318">
        <v>287798</v>
      </c>
      <c r="F218" s="1318">
        <v>0</v>
      </c>
      <c r="G218" s="1318">
        <v>235948</v>
      </c>
      <c r="H218" s="1318">
        <v>0</v>
      </c>
    </row>
    <row r="219" spans="1:8">
      <c r="C219" s="1317" t="s">
        <v>1177</v>
      </c>
      <c r="E219" s="1318">
        <v>17192939</v>
      </c>
      <c r="F219" s="1318">
        <v>0</v>
      </c>
      <c r="G219" s="1318">
        <v>16467600</v>
      </c>
      <c r="H219" s="1318">
        <v>0</v>
      </c>
    </row>
    <row r="220" spans="1:8">
      <c r="B220" s="1317" t="s">
        <v>1120</v>
      </c>
      <c r="E220" s="1318">
        <v>17192939</v>
      </c>
      <c r="F220" s="1318">
        <v>0</v>
      </c>
      <c r="G220" s="1318">
        <v>16467600</v>
      </c>
      <c r="H220" s="1318">
        <v>0</v>
      </c>
    </row>
    <row r="221" spans="1:8">
      <c r="B221" s="1317" t="s">
        <v>592</v>
      </c>
      <c r="C221" s="1317" t="s">
        <v>746</v>
      </c>
      <c r="D221" s="1317" t="s">
        <v>413</v>
      </c>
      <c r="E221" s="1318">
        <v>172560</v>
      </c>
      <c r="F221" s="1318">
        <v>0</v>
      </c>
      <c r="G221" s="1318">
        <v>0</v>
      </c>
      <c r="H221" s="1318">
        <v>0</v>
      </c>
    </row>
    <row r="222" spans="1:8">
      <c r="D222" s="1317" t="s">
        <v>414</v>
      </c>
      <c r="E222" s="1318">
        <v>229919.2</v>
      </c>
      <c r="F222" s="1318">
        <v>0</v>
      </c>
      <c r="G222" s="1318">
        <v>484789</v>
      </c>
      <c r="H222" s="1318">
        <v>0</v>
      </c>
    </row>
    <row r="223" spans="1:8">
      <c r="C223" s="1317" t="s">
        <v>1178</v>
      </c>
      <c r="E223" s="1318">
        <v>402479.2</v>
      </c>
      <c r="F223" s="1318">
        <v>0</v>
      </c>
      <c r="G223" s="1318">
        <v>484789</v>
      </c>
      <c r="H223" s="1318">
        <v>0</v>
      </c>
    </row>
    <row r="224" spans="1:8">
      <c r="C224" s="1317" t="s">
        <v>593</v>
      </c>
      <c r="D224" s="1317" t="s">
        <v>596</v>
      </c>
      <c r="E224" s="1318">
        <v>56016203.549999997</v>
      </c>
      <c r="F224" s="1318">
        <v>0</v>
      </c>
      <c r="G224" s="1318">
        <v>55036932.399999999</v>
      </c>
      <c r="H224" s="1318">
        <v>0</v>
      </c>
    </row>
    <row r="225" spans="3:10">
      <c r="D225" s="1317" t="s">
        <v>76</v>
      </c>
      <c r="E225" s="1318">
        <v>1057200.7</v>
      </c>
      <c r="F225" s="1318">
        <v>0</v>
      </c>
      <c r="G225" s="1318">
        <v>1057200.7</v>
      </c>
      <c r="H225" s="1318">
        <v>0</v>
      </c>
    </row>
    <row r="226" spans="3:10">
      <c r="D226" s="1317" t="s">
        <v>113</v>
      </c>
      <c r="E226" s="1318">
        <v>28473033.399999999</v>
      </c>
      <c r="F226" s="1318">
        <v>0</v>
      </c>
      <c r="G226" s="1318">
        <v>26949655</v>
      </c>
      <c r="H226" s="1318">
        <v>0</v>
      </c>
    </row>
    <row r="227" spans="3:10">
      <c r="D227" s="1317" t="s">
        <v>133</v>
      </c>
      <c r="E227" s="1318">
        <v>33965000</v>
      </c>
      <c r="F227" s="1318">
        <v>0</v>
      </c>
      <c r="G227" s="1318">
        <v>33965000</v>
      </c>
      <c r="H227" s="1318">
        <v>0</v>
      </c>
      <c r="J227" s="19">
        <f>GETPIVOTDATA("Sum of CR-DEC 19",$A$3,"Note",9,"BS Main Head","Short Term Provision")-GETPIVOTDATA("Sum of DR-DEC 19",$A$3,"Note",9,"BS Main Head","Short Term Provision")</f>
        <v>4716135.9999999991</v>
      </c>
    </row>
    <row r="228" spans="3:10">
      <c r="D228" s="1317" t="s">
        <v>135</v>
      </c>
      <c r="E228" s="1318">
        <v>1820294</v>
      </c>
      <c r="F228" s="1318">
        <v>0</v>
      </c>
      <c r="G228" s="1318">
        <v>1820294</v>
      </c>
      <c r="H228" s="1318">
        <v>0</v>
      </c>
      <c r="J228" s="19">
        <f>GETPIVOTDATA("Sum of CR-March 20",$A$3,"Note",9,"BS Main Head","Short Term Provision")-GETPIVOTDATA("Sum of DR-March 20",$A$3,"Note",9,"BS Main Head","Short Term Provision")</f>
        <v>5308503.6999999993</v>
      </c>
    </row>
    <row r="229" spans="3:10">
      <c r="D229" s="1317" t="s">
        <v>238</v>
      </c>
      <c r="E229" s="1318">
        <v>918177.38</v>
      </c>
      <c r="F229" s="1318">
        <v>0</v>
      </c>
      <c r="G229" s="1318">
        <v>850872.03</v>
      </c>
      <c r="H229" s="1318">
        <v>0</v>
      </c>
    </row>
    <row r="230" spans="3:10">
      <c r="D230" s="1317" t="s">
        <v>261</v>
      </c>
      <c r="E230" s="1318">
        <v>217294094.62</v>
      </c>
      <c r="F230" s="1318">
        <v>0</v>
      </c>
      <c r="G230" s="1318">
        <v>213053551.43000001</v>
      </c>
      <c r="H230" s="1318">
        <v>0</v>
      </c>
    </row>
    <row r="231" spans="3:10">
      <c r="D231" s="1317" t="s">
        <v>401</v>
      </c>
      <c r="E231" s="1318">
        <v>2991111</v>
      </c>
      <c r="F231" s="1318">
        <v>0</v>
      </c>
      <c r="G231" s="1318">
        <v>1961724</v>
      </c>
      <c r="H231" s="1318">
        <v>0</v>
      </c>
    </row>
    <row r="232" spans="3:10">
      <c r="C232" s="1317" t="s">
        <v>1179</v>
      </c>
      <c r="E232" s="1318">
        <v>342535114.64999998</v>
      </c>
      <c r="F232" s="1318">
        <v>0</v>
      </c>
      <c r="G232" s="1318">
        <v>334695229.56</v>
      </c>
      <c r="H232" s="1318">
        <v>0</v>
      </c>
    </row>
    <row r="233" spans="3:10">
      <c r="C233" s="1317" t="s">
        <v>688</v>
      </c>
      <c r="D233" s="1317" t="s">
        <v>275</v>
      </c>
      <c r="E233" s="1318">
        <v>0</v>
      </c>
      <c r="F233" s="1318">
        <v>3321516</v>
      </c>
      <c r="G233" s="1318">
        <v>0</v>
      </c>
      <c r="H233" s="1318">
        <v>1578365</v>
      </c>
    </row>
    <row r="234" spans="3:10">
      <c r="D234" s="1317" t="s">
        <v>689</v>
      </c>
      <c r="E234" s="1318">
        <v>0</v>
      </c>
      <c r="F234" s="1318">
        <v>939164</v>
      </c>
      <c r="G234" s="1318">
        <v>0</v>
      </c>
      <c r="H234" s="1318">
        <v>846428</v>
      </c>
    </row>
    <row r="235" spans="3:10">
      <c r="D235" s="1317" t="s">
        <v>690</v>
      </c>
      <c r="E235" s="1318">
        <v>0</v>
      </c>
      <c r="F235" s="1318">
        <v>16647093</v>
      </c>
      <c r="G235" s="1318">
        <v>0</v>
      </c>
      <c r="H235" s="1318">
        <v>14761635</v>
      </c>
    </row>
    <row r="236" spans="3:10">
      <c r="D236" s="1317" t="s">
        <v>278</v>
      </c>
      <c r="E236" s="1318">
        <v>0</v>
      </c>
      <c r="F236" s="1318">
        <v>379192</v>
      </c>
      <c r="G236" s="1318">
        <v>0</v>
      </c>
      <c r="H236" s="1318">
        <v>379192</v>
      </c>
    </row>
    <row r="237" spans="3:10">
      <c r="D237" s="1317" t="s">
        <v>691</v>
      </c>
      <c r="E237" s="1318">
        <v>0</v>
      </c>
      <c r="F237" s="1318">
        <v>1478167</v>
      </c>
      <c r="G237" s="1318">
        <v>0</v>
      </c>
      <c r="H237" s="1318">
        <v>1420188</v>
      </c>
    </row>
    <row r="238" spans="3:10">
      <c r="D238" s="1317" t="s">
        <v>692</v>
      </c>
      <c r="E238" s="1318">
        <v>0</v>
      </c>
      <c r="F238" s="1318">
        <v>753819</v>
      </c>
      <c r="G238" s="1318">
        <v>0</v>
      </c>
      <c r="H238" s="1318">
        <v>729742</v>
      </c>
    </row>
    <row r="239" spans="3:10">
      <c r="D239" s="1317" t="s">
        <v>693</v>
      </c>
      <c r="E239" s="1318">
        <v>0</v>
      </c>
      <c r="F239" s="1318">
        <v>92431427</v>
      </c>
      <c r="G239" s="1318">
        <v>0</v>
      </c>
      <c r="H239" s="1318">
        <v>79329687</v>
      </c>
    </row>
    <row r="240" spans="3:10">
      <c r="D240" s="1317" t="s">
        <v>694</v>
      </c>
      <c r="E240" s="1318">
        <v>0</v>
      </c>
      <c r="F240" s="1318">
        <v>189571</v>
      </c>
      <c r="G240" s="1318">
        <v>0</v>
      </c>
      <c r="H240" s="1318">
        <v>1238122</v>
      </c>
    </row>
    <row r="241" spans="1:8">
      <c r="C241" s="1317" t="s">
        <v>1180</v>
      </c>
      <c r="E241" s="1318">
        <v>0</v>
      </c>
      <c r="F241" s="1318">
        <v>116139949</v>
      </c>
      <c r="G241" s="1318">
        <v>0</v>
      </c>
      <c r="H241" s="1318">
        <v>100283359</v>
      </c>
    </row>
    <row r="242" spans="1:8">
      <c r="B242" s="1317" t="s">
        <v>1123</v>
      </c>
      <c r="E242" s="1318">
        <v>342937593.85000002</v>
      </c>
      <c r="F242" s="1318">
        <v>116139949</v>
      </c>
      <c r="G242" s="1318">
        <v>335180018.56</v>
      </c>
      <c r="H242" s="1318">
        <v>100283359</v>
      </c>
    </row>
    <row r="243" spans="1:8">
      <c r="A243" s="1317" t="s">
        <v>1145</v>
      </c>
      <c r="E243" s="1318">
        <v>360130532.85000002</v>
      </c>
      <c r="F243" s="1318">
        <v>116139949</v>
      </c>
      <c r="G243" s="1318">
        <v>351647618.56000006</v>
      </c>
      <c r="H243" s="1318">
        <v>100283359</v>
      </c>
    </row>
    <row r="244" spans="1:8">
      <c r="A244" s="1317">
        <v>12</v>
      </c>
      <c r="B244" s="1317" t="s">
        <v>566</v>
      </c>
      <c r="C244" s="1317" t="s">
        <v>567</v>
      </c>
      <c r="D244" s="1317" t="s">
        <v>20</v>
      </c>
      <c r="E244" s="1318">
        <v>0</v>
      </c>
      <c r="F244" s="1318">
        <v>0</v>
      </c>
      <c r="G244" s="1318">
        <v>12325000</v>
      </c>
      <c r="H244" s="1318">
        <v>0</v>
      </c>
    </row>
    <row r="245" spans="1:8">
      <c r="D245" s="1317" t="s">
        <v>21</v>
      </c>
      <c r="E245" s="1318">
        <v>3800000</v>
      </c>
      <c r="F245" s="1318">
        <v>0</v>
      </c>
      <c r="G245" s="1318">
        <v>0</v>
      </c>
      <c r="H245" s="1318">
        <v>0</v>
      </c>
    </row>
    <row r="246" spans="1:8">
      <c r="D246" s="1317" t="s">
        <v>287</v>
      </c>
      <c r="E246" s="1318">
        <v>34285</v>
      </c>
      <c r="F246" s="1318">
        <v>0</v>
      </c>
      <c r="G246" s="1318">
        <v>34285</v>
      </c>
      <c r="H246" s="1318">
        <v>0</v>
      </c>
    </row>
    <row r="247" spans="1:8">
      <c r="D247" s="1317" t="s">
        <v>284</v>
      </c>
      <c r="E247" s="1318">
        <v>122153</v>
      </c>
      <c r="F247" s="1318">
        <v>0</v>
      </c>
      <c r="G247" s="1318">
        <v>122153</v>
      </c>
      <c r="H247" s="1318">
        <v>0</v>
      </c>
    </row>
    <row r="248" spans="1:8">
      <c r="D248" s="1317" t="s">
        <v>286</v>
      </c>
      <c r="E248" s="1318">
        <v>139678</v>
      </c>
      <c r="F248" s="1318">
        <v>0</v>
      </c>
      <c r="G248" s="1318">
        <v>139678</v>
      </c>
      <c r="H248" s="1318">
        <v>0</v>
      </c>
    </row>
    <row r="249" spans="1:8">
      <c r="D249" s="1317" t="s">
        <v>285</v>
      </c>
      <c r="E249" s="1318">
        <v>271788</v>
      </c>
      <c r="F249" s="1318">
        <v>0</v>
      </c>
      <c r="G249" s="1318">
        <v>271788</v>
      </c>
      <c r="H249" s="1318">
        <v>0</v>
      </c>
    </row>
    <row r="250" spans="1:8">
      <c r="D250" s="1317" t="s">
        <v>283</v>
      </c>
      <c r="E250" s="1318">
        <v>0</v>
      </c>
      <c r="F250" s="1318">
        <v>0</v>
      </c>
      <c r="G250" s="1318">
        <v>0</v>
      </c>
      <c r="H250" s="1318">
        <v>0</v>
      </c>
    </row>
    <row r="251" spans="1:8">
      <c r="D251" s="1317" t="s">
        <v>373</v>
      </c>
      <c r="E251" s="1318">
        <v>0</v>
      </c>
      <c r="F251" s="1318">
        <v>0</v>
      </c>
      <c r="G251" s="1318">
        <v>19841</v>
      </c>
      <c r="H251" s="1318">
        <v>0</v>
      </c>
    </row>
    <row r="252" spans="1:8">
      <c r="D252" s="1317" t="s">
        <v>374</v>
      </c>
      <c r="E252" s="1318">
        <v>15292</v>
      </c>
      <c r="F252" s="1318">
        <v>0</v>
      </c>
      <c r="G252" s="1318">
        <v>0</v>
      </c>
      <c r="H252" s="1318">
        <v>0</v>
      </c>
    </row>
    <row r="253" spans="1:8">
      <c r="D253" s="1317" t="s">
        <v>526</v>
      </c>
      <c r="E253" s="1318">
        <v>0</v>
      </c>
      <c r="F253" s="1318">
        <v>0</v>
      </c>
      <c r="G253" s="1318">
        <v>4717</v>
      </c>
      <c r="H253" s="1318">
        <v>0</v>
      </c>
    </row>
    <row r="254" spans="1:8">
      <c r="D254" s="1317" t="s">
        <v>1309</v>
      </c>
      <c r="E254" s="1318">
        <v>17190</v>
      </c>
      <c r="F254" s="1318">
        <v>0</v>
      </c>
      <c r="G254" s="1318">
        <v>0</v>
      </c>
      <c r="H254" s="1318">
        <v>0</v>
      </c>
    </row>
    <row r="255" spans="1:8">
      <c r="D255" s="1317" t="s">
        <v>1526</v>
      </c>
      <c r="E255" s="1318">
        <v>44002</v>
      </c>
      <c r="F255" s="1318">
        <v>0</v>
      </c>
      <c r="G255" s="1318">
        <v>0</v>
      </c>
      <c r="H255" s="1318">
        <v>0</v>
      </c>
    </row>
    <row r="256" spans="1:8">
      <c r="C256" s="1317" t="s">
        <v>1181</v>
      </c>
      <c r="E256" s="1318">
        <v>4444388</v>
      </c>
      <c r="F256" s="1318">
        <v>0</v>
      </c>
      <c r="G256" s="1318">
        <v>12917462</v>
      </c>
      <c r="H256" s="1318">
        <v>0</v>
      </c>
    </row>
    <row r="257" spans="3:8">
      <c r="C257" s="1317" t="s">
        <v>616</v>
      </c>
      <c r="D257" s="1317" t="s">
        <v>60</v>
      </c>
      <c r="E257" s="1318">
        <v>0</v>
      </c>
      <c r="F257" s="1318">
        <v>0</v>
      </c>
      <c r="G257" s="1318">
        <v>0</v>
      </c>
      <c r="H257" s="1318">
        <v>0</v>
      </c>
    </row>
    <row r="258" spans="3:8">
      <c r="D258" s="1317" t="s">
        <v>442</v>
      </c>
      <c r="E258" s="1318">
        <v>0</v>
      </c>
      <c r="F258" s="1318">
        <v>0</v>
      </c>
      <c r="G258" s="1318">
        <v>2500</v>
      </c>
      <c r="H258" s="1318">
        <v>0</v>
      </c>
    </row>
    <row r="259" spans="3:8">
      <c r="D259" s="1317" t="s">
        <v>289</v>
      </c>
      <c r="E259" s="1318">
        <v>12216191</v>
      </c>
      <c r="F259" s="1318">
        <v>0</v>
      </c>
      <c r="G259" s="1318">
        <v>10799666</v>
      </c>
      <c r="H259" s="1318">
        <v>0</v>
      </c>
    </row>
    <row r="260" spans="3:8">
      <c r="D260" s="1317" t="s">
        <v>532</v>
      </c>
      <c r="E260" s="1318">
        <v>0</v>
      </c>
      <c r="F260" s="1318">
        <v>0</v>
      </c>
      <c r="G260" s="1318">
        <v>13978.36</v>
      </c>
      <c r="H260" s="1318">
        <v>0</v>
      </c>
    </row>
    <row r="261" spans="3:8">
      <c r="D261" s="1317" t="s">
        <v>533</v>
      </c>
      <c r="E261" s="1318">
        <v>0</v>
      </c>
      <c r="F261" s="1318">
        <v>0</v>
      </c>
      <c r="G261" s="1318">
        <v>10451</v>
      </c>
      <c r="H261" s="1318">
        <v>0</v>
      </c>
    </row>
    <row r="262" spans="3:8">
      <c r="D262" s="1317" t="s">
        <v>534</v>
      </c>
      <c r="E262" s="1318">
        <v>0</v>
      </c>
      <c r="F262" s="1318">
        <v>0</v>
      </c>
      <c r="G262" s="1318">
        <v>439878</v>
      </c>
      <c r="H262" s="1318">
        <v>0</v>
      </c>
    </row>
    <row r="263" spans="3:8">
      <c r="D263" s="1317" t="s">
        <v>1522</v>
      </c>
      <c r="E263" s="1318">
        <v>0</v>
      </c>
      <c r="F263" s="1318">
        <v>0</v>
      </c>
      <c r="G263" s="1318">
        <v>0</v>
      </c>
      <c r="H263" s="1318">
        <v>0</v>
      </c>
    </row>
    <row r="264" spans="3:8">
      <c r="D264" s="1317" t="s">
        <v>1525</v>
      </c>
      <c r="E264" s="1318">
        <v>0</v>
      </c>
      <c r="F264" s="1318">
        <v>0</v>
      </c>
      <c r="G264" s="1318">
        <v>0</v>
      </c>
      <c r="H264" s="1318">
        <v>0</v>
      </c>
    </row>
    <row r="265" spans="3:8">
      <c r="C265" s="1317" t="s">
        <v>1182</v>
      </c>
      <c r="E265" s="1318">
        <v>12216191</v>
      </c>
      <c r="F265" s="1318">
        <v>0</v>
      </c>
      <c r="G265" s="1318">
        <v>11266473.359999999</v>
      </c>
      <c r="H265" s="1318">
        <v>0</v>
      </c>
    </row>
    <row r="266" spans="3:8">
      <c r="C266" s="1317" t="s">
        <v>634</v>
      </c>
      <c r="D266" s="1317" t="s">
        <v>29</v>
      </c>
      <c r="E266" s="1318">
        <v>4000</v>
      </c>
      <c r="F266" s="1318">
        <v>0</v>
      </c>
      <c r="G266" s="1318">
        <v>0</v>
      </c>
      <c r="H266" s="1318">
        <v>0</v>
      </c>
    </row>
    <row r="267" spans="3:8">
      <c r="D267" s="1317" t="s">
        <v>50</v>
      </c>
      <c r="E267" s="1318">
        <v>2000</v>
      </c>
      <c r="F267" s="1318">
        <v>0</v>
      </c>
      <c r="G267" s="1318">
        <v>0</v>
      </c>
      <c r="H267" s="1318">
        <v>0</v>
      </c>
    </row>
    <row r="268" spans="3:8">
      <c r="D268" s="1317" t="s">
        <v>66</v>
      </c>
      <c r="E268" s="1318">
        <v>7000</v>
      </c>
      <c r="F268" s="1318">
        <v>0</v>
      </c>
      <c r="G268" s="1318">
        <v>0</v>
      </c>
      <c r="H268" s="1318">
        <v>0</v>
      </c>
    </row>
    <row r="269" spans="3:8">
      <c r="D269" s="1317" t="s">
        <v>448</v>
      </c>
      <c r="E269" s="1318">
        <v>0</v>
      </c>
      <c r="F269" s="1318">
        <v>0</v>
      </c>
      <c r="G269" s="1318">
        <v>7000</v>
      </c>
      <c r="H269" s="1318">
        <v>0</v>
      </c>
    </row>
    <row r="270" spans="3:8">
      <c r="D270" s="1317" t="s">
        <v>449</v>
      </c>
      <c r="E270" s="1318">
        <v>0</v>
      </c>
      <c r="F270" s="1318">
        <v>0</v>
      </c>
      <c r="G270" s="1318">
        <v>5000</v>
      </c>
      <c r="H270" s="1318">
        <v>0</v>
      </c>
    </row>
    <row r="271" spans="3:8">
      <c r="D271" s="1317" t="s">
        <v>649</v>
      </c>
      <c r="E271" s="1318">
        <v>38000</v>
      </c>
      <c r="F271" s="1318">
        <v>0</v>
      </c>
      <c r="G271" s="1318">
        <v>53500</v>
      </c>
      <c r="H271" s="1318">
        <v>0</v>
      </c>
    </row>
    <row r="272" spans="3:8">
      <c r="D272" s="1317" t="s">
        <v>191</v>
      </c>
      <c r="E272" s="1318">
        <v>92000</v>
      </c>
      <c r="F272" s="1318">
        <v>0</v>
      </c>
      <c r="G272" s="1318">
        <v>80000</v>
      </c>
      <c r="H272" s="1318">
        <v>0</v>
      </c>
    </row>
    <row r="273" spans="4:8">
      <c r="D273" s="1317" t="s">
        <v>198</v>
      </c>
      <c r="E273" s="1318">
        <v>23000</v>
      </c>
      <c r="F273" s="1318">
        <v>0</v>
      </c>
      <c r="G273" s="1318">
        <v>41000</v>
      </c>
      <c r="H273" s="1318">
        <v>0</v>
      </c>
    </row>
    <row r="274" spans="4:8">
      <c r="D274" s="1317" t="s">
        <v>475</v>
      </c>
      <c r="E274" s="1318">
        <v>0</v>
      </c>
      <c r="F274" s="1318">
        <v>0</v>
      </c>
      <c r="G274" s="1318">
        <v>7000</v>
      </c>
      <c r="H274" s="1318">
        <v>0</v>
      </c>
    </row>
    <row r="275" spans="4:8">
      <c r="D275" s="1317" t="s">
        <v>217</v>
      </c>
      <c r="E275" s="1318">
        <v>6000</v>
      </c>
      <c r="F275" s="1318">
        <v>0</v>
      </c>
      <c r="G275" s="1318">
        <v>0</v>
      </c>
      <c r="H275" s="1318">
        <v>0</v>
      </c>
    </row>
    <row r="276" spans="4:8">
      <c r="D276" s="1317" t="s">
        <v>218</v>
      </c>
      <c r="E276" s="1318">
        <v>26000</v>
      </c>
      <c r="F276" s="1318">
        <v>0</v>
      </c>
      <c r="G276" s="1318">
        <v>18000</v>
      </c>
      <c r="H276" s="1318">
        <v>0</v>
      </c>
    </row>
    <row r="277" spans="4:8">
      <c r="D277" s="1317" t="s">
        <v>676</v>
      </c>
      <c r="E277" s="1318">
        <v>15000</v>
      </c>
      <c r="F277" s="1318">
        <v>0</v>
      </c>
      <c r="G277" s="1318">
        <v>0</v>
      </c>
      <c r="H277" s="1318">
        <v>0</v>
      </c>
    </row>
    <row r="278" spans="4:8">
      <c r="D278" s="1317" t="s">
        <v>230</v>
      </c>
      <c r="E278" s="1318">
        <v>4000</v>
      </c>
      <c r="F278" s="1318">
        <v>0</v>
      </c>
      <c r="G278" s="1318">
        <v>0</v>
      </c>
      <c r="H278" s="1318">
        <v>0</v>
      </c>
    </row>
    <row r="279" spans="4:8">
      <c r="D279" s="1317" t="s">
        <v>231</v>
      </c>
      <c r="E279" s="1318">
        <v>34000</v>
      </c>
      <c r="F279" s="1318">
        <v>0</v>
      </c>
      <c r="G279" s="1318">
        <v>40000</v>
      </c>
      <c r="H279" s="1318">
        <v>0</v>
      </c>
    </row>
    <row r="280" spans="4:8">
      <c r="D280" s="1317" t="s">
        <v>493</v>
      </c>
      <c r="E280" s="1318">
        <v>0</v>
      </c>
      <c r="F280" s="1318">
        <v>0</v>
      </c>
      <c r="G280" s="1318">
        <v>23000</v>
      </c>
      <c r="H280" s="1318">
        <v>0</v>
      </c>
    </row>
    <row r="281" spans="4:8">
      <c r="D281" s="1317" t="s">
        <v>500</v>
      </c>
      <c r="E281" s="1318">
        <v>0</v>
      </c>
      <c r="F281" s="1318">
        <v>0</v>
      </c>
      <c r="G281" s="1318">
        <v>3000</v>
      </c>
      <c r="H281" s="1318">
        <v>0</v>
      </c>
    </row>
    <row r="282" spans="4:8">
      <c r="D282" s="1317" t="s">
        <v>701</v>
      </c>
      <c r="E282" s="1318">
        <v>2000</v>
      </c>
      <c r="F282" s="1318">
        <v>0</v>
      </c>
      <c r="G282" s="1318">
        <v>0</v>
      </c>
      <c r="H282" s="1318">
        <v>0</v>
      </c>
    </row>
    <row r="283" spans="4:8">
      <c r="D283" s="1317" t="s">
        <v>505</v>
      </c>
      <c r="E283" s="1318">
        <v>0</v>
      </c>
      <c r="F283" s="1318">
        <v>0</v>
      </c>
      <c r="G283" s="1318">
        <v>3000</v>
      </c>
      <c r="H283" s="1318">
        <v>0</v>
      </c>
    </row>
    <row r="284" spans="4:8">
      <c r="D284" s="1317" t="s">
        <v>507</v>
      </c>
      <c r="E284" s="1318">
        <v>0</v>
      </c>
      <c r="F284" s="1318">
        <v>0</v>
      </c>
      <c r="G284" s="1318">
        <v>21000</v>
      </c>
      <c r="H284" s="1318">
        <v>0</v>
      </c>
    </row>
    <row r="285" spans="4:8">
      <c r="D285" s="1317" t="s">
        <v>512</v>
      </c>
      <c r="E285" s="1318">
        <v>0</v>
      </c>
      <c r="F285" s="1318">
        <v>0</v>
      </c>
      <c r="G285" s="1318">
        <v>2852</v>
      </c>
      <c r="H285" s="1318">
        <v>0</v>
      </c>
    </row>
    <row r="286" spans="4:8">
      <c r="D286" s="1317" t="s">
        <v>727</v>
      </c>
      <c r="E286" s="1318">
        <v>73000</v>
      </c>
      <c r="F286" s="1318">
        <v>0</v>
      </c>
      <c r="G286" s="1318">
        <v>5000</v>
      </c>
      <c r="H286" s="1318">
        <v>0</v>
      </c>
    </row>
    <row r="287" spans="4:8">
      <c r="D287" s="1317" t="s">
        <v>371</v>
      </c>
      <c r="E287" s="1318">
        <v>22000</v>
      </c>
      <c r="F287" s="1318">
        <v>0</v>
      </c>
      <c r="G287" s="1318">
        <v>0</v>
      </c>
      <c r="H287" s="1318">
        <v>0</v>
      </c>
    </row>
    <row r="288" spans="4:8">
      <c r="D288" s="1317" t="s">
        <v>524</v>
      </c>
      <c r="E288" s="1318">
        <v>0</v>
      </c>
      <c r="F288" s="1318">
        <v>0</v>
      </c>
      <c r="G288" s="1318">
        <v>12000</v>
      </c>
      <c r="H288" s="1318">
        <v>0</v>
      </c>
    </row>
    <row r="289" spans="3:8">
      <c r="C289" s="1317" t="s">
        <v>1183</v>
      </c>
      <c r="E289" s="1318">
        <v>348000</v>
      </c>
      <c r="F289" s="1318">
        <v>0</v>
      </c>
      <c r="G289" s="1318">
        <v>321352</v>
      </c>
      <c r="H289" s="1318">
        <v>0</v>
      </c>
    </row>
    <row r="290" spans="3:8">
      <c r="C290" s="1317" t="s">
        <v>622</v>
      </c>
      <c r="D290" s="1317" t="s">
        <v>89</v>
      </c>
      <c r="E290" s="1318">
        <v>1137100</v>
      </c>
      <c r="F290" s="1318">
        <v>0</v>
      </c>
      <c r="G290" s="1318">
        <v>1137100</v>
      </c>
      <c r="H290" s="1318">
        <v>0</v>
      </c>
    </row>
    <row r="291" spans="3:8">
      <c r="D291" s="1317" t="s">
        <v>90</v>
      </c>
      <c r="E291" s="1318">
        <v>6800</v>
      </c>
      <c r="F291" s="1318">
        <v>0</v>
      </c>
      <c r="G291" s="1318">
        <v>6800</v>
      </c>
      <c r="H291" s="1318">
        <v>0</v>
      </c>
    </row>
    <row r="292" spans="3:8">
      <c r="D292" s="1317" t="s">
        <v>95</v>
      </c>
      <c r="E292" s="1318">
        <v>248200</v>
      </c>
      <c r="F292" s="1318">
        <v>0</v>
      </c>
      <c r="G292" s="1318">
        <v>0</v>
      </c>
      <c r="H292" s="1318">
        <v>0</v>
      </c>
    </row>
    <row r="293" spans="3:8">
      <c r="D293" s="1317" t="s">
        <v>625</v>
      </c>
      <c r="E293" s="1318">
        <v>200000</v>
      </c>
      <c r="F293" s="1318">
        <v>0</v>
      </c>
      <c r="G293" s="1318">
        <v>200000</v>
      </c>
      <c r="H293" s="1318">
        <v>0</v>
      </c>
    </row>
    <row r="294" spans="3:8">
      <c r="D294" s="1317" t="s">
        <v>626</v>
      </c>
      <c r="E294" s="1318">
        <v>9500</v>
      </c>
      <c r="F294" s="1318">
        <v>0</v>
      </c>
      <c r="G294" s="1318">
        <v>9500</v>
      </c>
      <c r="H294" s="1318">
        <v>0</v>
      </c>
    </row>
    <row r="295" spans="3:8">
      <c r="C295" s="1317" t="s">
        <v>1184</v>
      </c>
      <c r="E295" s="1318">
        <v>1601600</v>
      </c>
      <c r="F295" s="1318">
        <v>0</v>
      </c>
      <c r="G295" s="1318">
        <v>1353400</v>
      </c>
      <c r="H295" s="1318">
        <v>0</v>
      </c>
    </row>
    <row r="296" spans="3:8">
      <c r="C296" s="1317" t="s">
        <v>672</v>
      </c>
      <c r="D296" s="1317" t="s">
        <v>219</v>
      </c>
      <c r="E296" s="1318">
        <v>0</v>
      </c>
      <c r="F296" s="1318">
        <v>0</v>
      </c>
      <c r="G296" s="1318">
        <v>127987</v>
      </c>
      <c r="H296" s="1318">
        <v>0</v>
      </c>
    </row>
    <row r="297" spans="3:8">
      <c r="D297" s="1317" t="s">
        <v>673</v>
      </c>
      <c r="E297" s="1318">
        <v>0</v>
      </c>
      <c r="F297" s="1318">
        <v>0</v>
      </c>
      <c r="G297" s="1318">
        <v>556434</v>
      </c>
      <c r="H297" s="1318">
        <v>0</v>
      </c>
    </row>
    <row r="298" spans="3:8">
      <c r="D298" s="1317" t="s">
        <v>220</v>
      </c>
      <c r="E298" s="1318">
        <v>1021090</v>
      </c>
      <c r="F298" s="1318">
        <v>0</v>
      </c>
      <c r="G298" s="1318">
        <v>1848942</v>
      </c>
      <c r="H298" s="1318">
        <v>0</v>
      </c>
    </row>
    <row r="299" spans="3:8">
      <c r="D299" s="1317" t="s">
        <v>222</v>
      </c>
      <c r="E299" s="1318">
        <v>6404071</v>
      </c>
      <c r="F299" s="1318">
        <v>0</v>
      </c>
      <c r="G299" s="1318">
        <v>6404071</v>
      </c>
      <c r="H299" s="1318">
        <v>0</v>
      </c>
    </row>
    <row r="300" spans="3:8">
      <c r="D300" s="1317" t="s">
        <v>223</v>
      </c>
      <c r="E300" s="1318">
        <v>479434</v>
      </c>
      <c r="F300" s="1318">
        <v>0</v>
      </c>
      <c r="G300" s="1318">
        <v>479434</v>
      </c>
      <c r="H300" s="1318">
        <v>0</v>
      </c>
    </row>
    <row r="301" spans="3:8">
      <c r="C301" s="1317" t="s">
        <v>1185</v>
      </c>
      <c r="E301" s="1318">
        <v>7904595</v>
      </c>
      <c r="F301" s="1318">
        <v>0</v>
      </c>
      <c r="G301" s="1318">
        <v>9416868</v>
      </c>
      <c r="H301" s="1318">
        <v>0</v>
      </c>
    </row>
    <row r="302" spans="3:8">
      <c r="C302" s="1317" t="s">
        <v>1302</v>
      </c>
      <c r="D302" s="1317" t="s">
        <v>438</v>
      </c>
      <c r="E302" s="1318">
        <v>0</v>
      </c>
      <c r="F302" s="1318">
        <v>0</v>
      </c>
      <c r="G302" s="1318">
        <v>0</v>
      </c>
      <c r="H302" s="1318">
        <v>510288.85</v>
      </c>
    </row>
    <row r="303" spans="3:8">
      <c r="D303" s="1317" t="s">
        <v>437</v>
      </c>
      <c r="E303" s="1318">
        <v>0</v>
      </c>
      <c r="F303" s="1318">
        <v>0</v>
      </c>
      <c r="G303" s="1318">
        <v>0</v>
      </c>
      <c r="H303" s="1318">
        <v>254778.81</v>
      </c>
    </row>
    <row r="304" spans="3:8">
      <c r="D304" s="1317" t="s">
        <v>61</v>
      </c>
      <c r="E304" s="1318">
        <v>1108272.6399999999</v>
      </c>
      <c r="F304" s="1318">
        <v>0</v>
      </c>
      <c r="G304" s="1318">
        <v>0</v>
      </c>
      <c r="H304" s="1318">
        <v>0</v>
      </c>
    </row>
    <row r="305" spans="3:8">
      <c r="D305" s="1317" t="s">
        <v>441</v>
      </c>
      <c r="E305" s="1318">
        <v>0</v>
      </c>
      <c r="F305" s="1318">
        <v>0</v>
      </c>
      <c r="G305" s="1318">
        <v>91098</v>
      </c>
      <c r="H305" s="1318">
        <v>0</v>
      </c>
    </row>
    <row r="306" spans="3:8">
      <c r="D306" s="1317" t="s">
        <v>464</v>
      </c>
      <c r="E306" s="1318">
        <v>0</v>
      </c>
      <c r="F306" s="1318">
        <v>0</v>
      </c>
      <c r="G306" s="1318">
        <v>10786.59</v>
      </c>
      <c r="H306" s="1318">
        <v>0</v>
      </c>
    </row>
    <row r="307" spans="3:8">
      <c r="D307" s="1317" t="s">
        <v>148</v>
      </c>
      <c r="E307" s="1318">
        <v>0</v>
      </c>
      <c r="F307" s="1318">
        <v>208713.56</v>
      </c>
      <c r="G307" s="1318">
        <v>0</v>
      </c>
      <c r="H307" s="1318">
        <v>0</v>
      </c>
    </row>
    <row r="308" spans="3:8">
      <c r="D308" s="1317" t="s">
        <v>463</v>
      </c>
      <c r="E308" s="1318">
        <v>0</v>
      </c>
      <c r="F308" s="1318">
        <v>0</v>
      </c>
      <c r="G308" s="1318">
        <v>18000</v>
      </c>
      <c r="H308" s="1318">
        <v>0</v>
      </c>
    </row>
    <row r="309" spans="3:8">
      <c r="D309" s="1317" t="s">
        <v>303</v>
      </c>
      <c r="E309" s="1318">
        <v>0</v>
      </c>
      <c r="F309" s="1318">
        <v>100502.93</v>
      </c>
      <c r="G309" s="1318">
        <v>0</v>
      </c>
      <c r="H309" s="1318">
        <v>30618.93</v>
      </c>
    </row>
    <row r="310" spans="3:8">
      <c r="D310" s="1317" t="s">
        <v>304</v>
      </c>
      <c r="E310" s="1318">
        <v>486323.88</v>
      </c>
      <c r="F310" s="1318">
        <v>0</v>
      </c>
      <c r="G310" s="1318">
        <v>0</v>
      </c>
      <c r="H310" s="1318">
        <v>38005.120000000003</v>
      </c>
    </row>
    <row r="311" spans="3:8">
      <c r="D311" s="1317" t="s">
        <v>305</v>
      </c>
      <c r="E311" s="1318">
        <v>0</v>
      </c>
      <c r="F311" s="1318">
        <v>0</v>
      </c>
      <c r="G311" s="1318">
        <v>0</v>
      </c>
      <c r="H311" s="1318">
        <v>0</v>
      </c>
    </row>
    <row r="312" spans="3:8">
      <c r="D312" s="1317" t="s">
        <v>306</v>
      </c>
      <c r="E312" s="1318">
        <v>0</v>
      </c>
      <c r="F312" s="1318">
        <v>80872.929999999993</v>
      </c>
      <c r="G312" s="1318">
        <v>0</v>
      </c>
      <c r="H312" s="1318">
        <v>30618.93</v>
      </c>
    </row>
    <row r="313" spans="3:8">
      <c r="D313" s="1317" t="s">
        <v>342</v>
      </c>
      <c r="E313" s="1318">
        <v>0</v>
      </c>
      <c r="F313" s="1318">
        <v>0</v>
      </c>
      <c r="G313" s="1318">
        <v>0</v>
      </c>
      <c r="H313" s="1318">
        <v>0</v>
      </c>
    </row>
    <row r="314" spans="3:8">
      <c r="D314" s="1317" t="s">
        <v>510</v>
      </c>
      <c r="E314" s="1318">
        <v>0</v>
      </c>
      <c r="F314" s="1318">
        <v>0</v>
      </c>
      <c r="G314" s="1318">
        <v>0</v>
      </c>
      <c r="H314" s="1318">
        <v>2167884.58</v>
      </c>
    </row>
    <row r="315" spans="3:8">
      <c r="D315" s="1317" t="s">
        <v>343</v>
      </c>
      <c r="E315" s="1318">
        <v>0</v>
      </c>
      <c r="F315" s="1318">
        <v>449757.14</v>
      </c>
      <c r="G315" s="1318">
        <v>0</v>
      </c>
      <c r="H315" s="1318">
        <v>0</v>
      </c>
    </row>
    <row r="316" spans="3:8">
      <c r="D316" s="1317" t="s">
        <v>509</v>
      </c>
      <c r="E316" s="1318">
        <v>0</v>
      </c>
      <c r="F316" s="1318">
        <v>0</v>
      </c>
      <c r="G316" s="1318">
        <v>0</v>
      </c>
      <c r="H316" s="1318">
        <v>106736.25</v>
      </c>
    </row>
    <row r="317" spans="3:8">
      <c r="D317" s="1317" t="s">
        <v>1295</v>
      </c>
      <c r="E317" s="1318">
        <v>0</v>
      </c>
      <c r="F317" s="1318">
        <v>0</v>
      </c>
      <c r="G317" s="1318">
        <v>0</v>
      </c>
      <c r="H317" s="1318">
        <v>0</v>
      </c>
    </row>
    <row r="318" spans="3:8">
      <c r="D318" s="1317" t="s">
        <v>1296</v>
      </c>
      <c r="E318" s="1318">
        <v>0</v>
      </c>
      <c r="F318" s="1318">
        <v>0</v>
      </c>
      <c r="G318" s="1318">
        <v>0</v>
      </c>
      <c r="H318" s="1318">
        <v>0</v>
      </c>
    </row>
    <row r="319" spans="3:8">
      <c r="D319" s="1317" t="s">
        <v>1298</v>
      </c>
      <c r="E319" s="1318">
        <v>0</v>
      </c>
      <c r="F319" s="1318">
        <v>0</v>
      </c>
      <c r="G319" s="1318">
        <v>0</v>
      </c>
      <c r="H319" s="1318">
        <v>0</v>
      </c>
    </row>
    <row r="320" spans="3:8">
      <c r="C320" s="1317" t="s">
        <v>1804</v>
      </c>
      <c r="E320" s="1318">
        <v>1594596.52</v>
      </c>
      <c r="F320" s="1318">
        <v>839846.56</v>
      </c>
      <c r="G320" s="1318">
        <v>119884.59</v>
      </c>
      <c r="H320" s="1318">
        <v>3138931.47</v>
      </c>
    </row>
    <row r="321" spans="1:8">
      <c r="B321" s="1317" t="s">
        <v>1125</v>
      </c>
      <c r="E321" s="1318">
        <v>28109370.52</v>
      </c>
      <c r="F321" s="1318">
        <v>839846.56</v>
      </c>
      <c r="G321" s="1318">
        <v>35395439.950000003</v>
      </c>
      <c r="H321" s="1318">
        <v>3138931.47</v>
      </c>
    </row>
    <row r="322" spans="1:8">
      <c r="A322" s="1317" t="s">
        <v>1146</v>
      </c>
      <c r="E322" s="1318">
        <v>28109370.52</v>
      </c>
      <c r="F322" s="1318">
        <v>839846.56</v>
      </c>
      <c r="G322" s="1318">
        <v>35395439.950000003</v>
      </c>
      <c r="H322" s="1318">
        <v>3138931.47</v>
      </c>
    </row>
    <row r="323" spans="1:8">
      <c r="A323" s="1317">
        <v>13</v>
      </c>
      <c r="B323" s="1317" t="s">
        <v>623</v>
      </c>
      <c r="C323" s="1317" t="s">
        <v>624</v>
      </c>
      <c r="D323" s="1317" t="s">
        <v>445</v>
      </c>
      <c r="E323" s="1318">
        <v>0</v>
      </c>
      <c r="F323" s="1318">
        <v>0</v>
      </c>
      <c r="G323" s="1318">
        <v>414273</v>
      </c>
      <c r="H323" s="1318">
        <v>0</v>
      </c>
    </row>
    <row r="324" spans="1:8">
      <c r="D324" s="1317" t="s">
        <v>96</v>
      </c>
      <c r="E324" s="1318">
        <v>125000</v>
      </c>
      <c r="F324" s="1318">
        <v>0</v>
      </c>
      <c r="G324" s="1318">
        <v>125000</v>
      </c>
      <c r="H324" s="1318">
        <v>0</v>
      </c>
    </row>
    <row r="325" spans="1:8">
      <c r="D325" s="1317" t="s">
        <v>446</v>
      </c>
      <c r="E325" s="1318">
        <v>0</v>
      </c>
      <c r="F325" s="1318">
        <v>0</v>
      </c>
      <c r="G325" s="1318">
        <v>375000</v>
      </c>
      <c r="H325" s="1318">
        <v>0</v>
      </c>
    </row>
    <row r="326" spans="1:8">
      <c r="D326" s="1317" t="s">
        <v>128</v>
      </c>
      <c r="E326" s="1318">
        <v>0</v>
      </c>
      <c r="F326" s="1318">
        <v>0</v>
      </c>
      <c r="G326" s="1318">
        <v>0</v>
      </c>
      <c r="H326" s="1318">
        <v>0</v>
      </c>
    </row>
    <row r="327" spans="1:8">
      <c r="D327" s="1317" t="s">
        <v>127</v>
      </c>
      <c r="E327" s="1318">
        <v>447710</v>
      </c>
      <c r="F327" s="1318">
        <v>0</v>
      </c>
      <c r="G327" s="1318">
        <v>447710</v>
      </c>
      <c r="H327" s="1318">
        <v>0</v>
      </c>
    </row>
    <row r="328" spans="1:8">
      <c r="D328" s="1317" t="s">
        <v>129</v>
      </c>
      <c r="E328" s="1318">
        <v>1508572</v>
      </c>
      <c r="F328" s="1318">
        <v>0</v>
      </c>
      <c r="G328" s="1318">
        <v>1508572</v>
      </c>
      <c r="H328" s="1318">
        <v>0</v>
      </c>
    </row>
    <row r="329" spans="1:8">
      <c r="D329" s="1317" t="s">
        <v>662</v>
      </c>
      <c r="E329" s="1318">
        <v>131953</v>
      </c>
      <c r="F329" s="1318">
        <v>0</v>
      </c>
      <c r="G329" s="1318">
        <v>0</v>
      </c>
      <c r="H329" s="1318">
        <v>0</v>
      </c>
    </row>
    <row r="330" spans="1:8">
      <c r="C330" s="1317" t="s">
        <v>1186</v>
      </c>
      <c r="E330" s="1318">
        <v>2213235</v>
      </c>
      <c r="F330" s="1318">
        <v>0</v>
      </c>
      <c r="G330" s="1318">
        <v>2870555</v>
      </c>
      <c r="H330" s="1318">
        <v>0</v>
      </c>
    </row>
    <row r="331" spans="1:8">
      <c r="B331" s="1317" t="s">
        <v>1128</v>
      </c>
      <c r="E331" s="1318">
        <v>2213235</v>
      </c>
      <c r="F331" s="1318">
        <v>0</v>
      </c>
      <c r="G331" s="1318">
        <v>2870555</v>
      </c>
      <c r="H331" s="1318">
        <v>0</v>
      </c>
    </row>
    <row r="332" spans="1:8">
      <c r="A332" s="1317" t="s">
        <v>1147</v>
      </c>
      <c r="E332" s="1318">
        <v>2213235</v>
      </c>
      <c r="F332" s="1318">
        <v>0</v>
      </c>
      <c r="G332" s="1318">
        <v>2870555</v>
      </c>
      <c r="H332" s="1318">
        <v>0</v>
      </c>
    </row>
    <row r="333" spans="1:8">
      <c r="A333" s="1317">
        <v>15</v>
      </c>
      <c r="B333" s="1317" t="s">
        <v>563</v>
      </c>
      <c r="C333" s="1317" t="s">
        <v>564</v>
      </c>
      <c r="D333" s="1317" t="s">
        <v>23</v>
      </c>
      <c r="E333" s="1318">
        <v>1426108</v>
      </c>
      <c r="F333" s="1318">
        <v>0</v>
      </c>
      <c r="G333" s="1318">
        <v>0</v>
      </c>
      <c r="H333" s="1318">
        <v>0</v>
      </c>
    </row>
    <row r="334" spans="1:8">
      <c r="D334" s="1317" t="s">
        <v>571</v>
      </c>
      <c r="E334" s="1318">
        <v>1152502</v>
      </c>
      <c r="F334" s="1318">
        <v>0</v>
      </c>
      <c r="G334" s="1318">
        <v>2429585</v>
      </c>
      <c r="H334" s="1318">
        <v>0</v>
      </c>
    </row>
    <row r="335" spans="1:8">
      <c r="D335" s="1317" t="s">
        <v>27</v>
      </c>
      <c r="E335" s="1318">
        <v>3898375</v>
      </c>
      <c r="F335" s="1318">
        <v>0</v>
      </c>
      <c r="G335" s="1318">
        <v>2907317</v>
      </c>
      <c r="H335" s="1318">
        <v>0</v>
      </c>
    </row>
    <row r="336" spans="1:8">
      <c r="D336" s="1317" t="s">
        <v>429</v>
      </c>
      <c r="E336" s="1318">
        <v>0</v>
      </c>
      <c r="F336" s="1318">
        <v>0</v>
      </c>
      <c r="G336" s="1318">
        <v>283582</v>
      </c>
      <c r="H336" s="1318">
        <v>0</v>
      </c>
    </row>
    <row r="337" spans="4:8">
      <c r="D337" s="1317" t="s">
        <v>430</v>
      </c>
      <c r="E337" s="1318">
        <v>0</v>
      </c>
      <c r="F337" s="1318">
        <v>0</v>
      </c>
      <c r="G337" s="1318">
        <v>245459</v>
      </c>
      <c r="H337" s="1318">
        <v>0</v>
      </c>
    </row>
    <row r="338" spans="4:8">
      <c r="D338" s="1317" t="s">
        <v>64</v>
      </c>
      <c r="E338" s="1318">
        <v>2655823</v>
      </c>
      <c r="F338" s="1318">
        <v>0</v>
      </c>
      <c r="G338" s="1318">
        <v>1406</v>
      </c>
      <c r="H338" s="1318">
        <v>0</v>
      </c>
    </row>
    <row r="339" spans="4:8">
      <c r="D339" s="1317" t="s">
        <v>65</v>
      </c>
      <c r="E339" s="1318">
        <v>4304700</v>
      </c>
      <c r="F339" s="1318">
        <v>0</v>
      </c>
      <c r="G339" s="1318">
        <v>12547062</v>
      </c>
      <c r="H339" s="1318">
        <v>0</v>
      </c>
    </row>
    <row r="340" spans="4:8">
      <c r="D340" s="1317" t="s">
        <v>604</v>
      </c>
      <c r="E340" s="1318">
        <v>886060</v>
      </c>
      <c r="F340" s="1318">
        <v>0</v>
      </c>
      <c r="G340" s="1318">
        <v>106645</v>
      </c>
      <c r="H340" s="1318">
        <v>0</v>
      </c>
    </row>
    <row r="341" spans="4:8">
      <c r="D341" s="1317" t="s">
        <v>83</v>
      </c>
      <c r="E341" s="1318">
        <v>2786944</v>
      </c>
      <c r="F341" s="1318">
        <v>0</v>
      </c>
      <c r="G341" s="1318">
        <v>0</v>
      </c>
      <c r="H341" s="1318">
        <v>0</v>
      </c>
    </row>
    <row r="342" spans="4:8">
      <c r="D342" s="1317" t="s">
        <v>444</v>
      </c>
      <c r="E342" s="1318">
        <v>0</v>
      </c>
      <c r="F342" s="1318">
        <v>0</v>
      </c>
      <c r="G342" s="1318">
        <v>1730730</v>
      </c>
      <c r="H342" s="1318">
        <v>0</v>
      </c>
    </row>
    <row r="343" spans="4:8">
      <c r="D343" s="1317" t="s">
        <v>104</v>
      </c>
      <c r="E343" s="1318">
        <v>0</v>
      </c>
      <c r="F343" s="1318">
        <v>10037</v>
      </c>
      <c r="G343" s="1318">
        <v>0</v>
      </c>
      <c r="H343" s="1318">
        <v>0</v>
      </c>
    </row>
    <row r="344" spans="4:8">
      <c r="D344" s="1317" t="s">
        <v>450</v>
      </c>
      <c r="E344" s="1318">
        <v>0</v>
      </c>
      <c r="F344" s="1318">
        <v>0</v>
      </c>
      <c r="G344" s="1318">
        <v>447794</v>
      </c>
      <c r="H344" s="1318">
        <v>0</v>
      </c>
    </row>
    <row r="345" spans="4:8">
      <c r="D345" s="1317" t="s">
        <v>154</v>
      </c>
      <c r="E345" s="1318">
        <v>238781</v>
      </c>
      <c r="F345" s="1318">
        <v>0</v>
      </c>
      <c r="G345" s="1318">
        <v>143542</v>
      </c>
      <c r="H345" s="1318">
        <v>0</v>
      </c>
    </row>
    <row r="346" spans="4:8">
      <c r="D346" s="1317" t="s">
        <v>182</v>
      </c>
      <c r="E346" s="1318">
        <v>556227</v>
      </c>
      <c r="F346" s="1318">
        <v>0</v>
      </c>
      <c r="G346" s="1318">
        <v>521284</v>
      </c>
      <c r="H346" s="1318">
        <v>0</v>
      </c>
    </row>
    <row r="347" spans="4:8">
      <c r="D347" s="1317" t="s">
        <v>183</v>
      </c>
      <c r="E347" s="1318">
        <v>50433</v>
      </c>
      <c r="F347" s="1318">
        <v>0</v>
      </c>
      <c r="G347" s="1318">
        <v>42545</v>
      </c>
      <c r="H347" s="1318">
        <v>0</v>
      </c>
    </row>
    <row r="348" spans="4:8">
      <c r="D348" s="1317" t="s">
        <v>666</v>
      </c>
      <c r="E348" s="1318">
        <v>0</v>
      </c>
      <c r="F348" s="1318">
        <v>0</v>
      </c>
      <c r="G348" s="1318">
        <v>1545645</v>
      </c>
      <c r="H348" s="1318">
        <v>0</v>
      </c>
    </row>
    <row r="349" spans="4:8">
      <c r="D349" s="1317" t="s">
        <v>667</v>
      </c>
      <c r="E349" s="1318">
        <v>0</v>
      </c>
      <c r="F349" s="1318">
        <v>0</v>
      </c>
      <c r="G349" s="1318">
        <v>739696</v>
      </c>
      <c r="H349" s="1318">
        <v>0</v>
      </c>
    </row>
    <row r="350" spans="4:8">
      <c r="D350" s="1317" t="s">
        <v>189</v>
      </c>
      <c r="E350" s="1318">
        <v>1680601</v>
      </c>
      <c r="F350" s="1318">
        <v>0</v>
      </c>
      <c r="G350" s="1318">
        <v>0</v>
      </c>
      <c r="H350" s="1318">
        <v>0</v>
      </c>
    </row>
    <row r="351" spans="4:8">
      <c r="D351" s="1317" t="s">
        <v>196</v>
      </c>
      <c r="E351" s="1318">
        <v>0</v>
      </c>
      <c r="F351" s="1318">
        <v>22611</v>
      </c>
      <c r="G351" s="1318">
        <v>709104</v>
      </c>
      <c r="H351" s="1318">
        <v>0</v>
      </c>
    </row>
    <row r="352" spans="4:8">
      <c r="D352" s="1317" t="s">
        <v>207</v>
      </c>
      <c r="E352" s="1318">
        <v>288108</v>
      </c>
      <c r="F352" s="1318">
        <v>0</v>
      </c>
      <c r="G352" s="1318">
        <v>250640</v>
      </c>
      <c r="H352" s="1318">
        <v>0</v>
      </c>
    </row>
    <row r="353" spans="4:8">
      <c r="D353" s="1317" t="s">
        <v>478</v>
      </c>
      <c r="E353" s="1318">
        <v>0</v>
      </c>
      <c r="F353" s="1318">
        <v>0</v>
      </c>
      <c r="G353" s="1318">
        <v>706208</v>
      </c>
      <c r="H353" s="1318">
        <v>0</v>
      </c>
    </row>
    <row r="354" spans="4:8">
      <c r="D354" s="1317" t="s">
        <v>243</v>
      </c>
      <c r="E354" s="1318">
        <v>501681</v>
      </c>
      <c r="F354" s="1318">
        <v>0</v>
      </c>
      <c r="G354" s="1318">
        <v>0</v>
      </c>
      <c r="H354" s="1318">
        <v>0</v>
      </c>
    </row>
    <row r="355" spans="4:8">
      <c r="D355" s="1317" t="s">
        <v>244</v>
      </c>
      <c r="E355" s="1318">
        <v>361758</v>
      </c>
      <c r="F355" s="1318">
        <v>0</v>
      </c>
      <c r="G355" s="1318">
        <v>172244</v>
      </c>
      <c r="H355" s="1318">
        <v>0</v>
      </c>
    </row>
    <row r="356" spans="4:8">
      <c r="D356" s="1317" t="s">
        <v>255</v>
      </c>
      <c r="E356" s="1318">
        <v>361125</v>
      </c>
      <c r="F356" s="1318">
        <v>0</v>
      </c>
      <c r="G356" s="1318">
        <v>0</v>
      </c>
      <c r="H356" s="1318">
        <v>0</v>
      </c>
    </row>
    <row r="357" spans="4:8">
      <c r="D357" s="1317" t="s">
        <v>268</v>
      </c>
      <c r="E357" s="1318">
        <v>213763</v>
      </c>
      <c r="F357" s="1318">
        <v>0</v>
      </c>
      <c r="G357" s="1318">
        <v>0</v>
      </c>
      <c r="H357" s="1318">
        <v>0</v>
      </c>
    </row>
    <row r="358" spans="4:8">
      <c r="D358" s="1317" t="s">
        <v>265</v>
      </c>
      <c r="E358" s="1318">
        <v>3013137</v>
      </c>
      <c r="F358" s="1318">
        <v>0</v>
      </c>
      <c r="G358" s="1318">
        <v>0</v>
      </c>
      <c r="H358" s="1318">
        <v>0</v>
      </c>
    </row>
    <row r="359" spans="4:8">
      <c r="D359" s="1317" t="s">
        <v>495</v>
      </c>
      <c r="E359" s="1318">
        <v>0</v>
      </c>
      <c r="F359" s="1318">
        <v>0</v>
      </c>
      <c r="G359" s="1318">
        <v>0</v>
      </c>
      <c r="H359" s="1318">
        <v>7758</v>
      </c>
    </row>
    <row r="360" spans="4:8">
      <c r="D360" s="1317" t="s">
        <v>298</v>
      </c>
      <c r="E360" s="1318">
        <v>553617</v>
      </c>
      <c r="F360" s="1318">
        <v>0</v>
      </c>
      <c r="G360" s="1318">
        <v>0</v>
      </c>
      <c r="H360" s="1318">
        <v>0</v>
      </c>
    </row>
    <row r="361" spans="4:8">
      <c r="D361" s="1317" t="s">
        <v>302</v>
      </c>
      <c r="E361" s="1318">
        <v>2558371</v>
      </c>
      <c r="F361" s="1318">
        <v>0</v>
      </c>
      <c r="G361" s="1318">
        <v>0</v>
      </c>
      <c r="H361" s="1318">
        <v>0</v>
      </c>
    </row>
    <row r="362" spans="4:8">
      <c r="D362" s="1317" t="s">
        <v>699</v>
      </c>
      <c r="E362" s="1318">
        <v>22988933</v>
      </c>
      <c r="F362" s="1318">
        <v>0</v>
      </c>
      <c r="G362" s="1318">
        <v>20109440</v>
      </c>
      <c r="H362" s="1318">
        <v>0</v>
      </c>
    </row>
    <row r="363" spans="4:8">
      <c r="D363" s="1317" t="s">
        <v>710</v>
      </c>
      <c r="E363" s="1318">
        <v>392445</v>
      </c>
      <c r="F363" s="1318">
        <v>0</v>
      </c>
      <c r="G363" s="1318">
        <v>815743.5</v>
      </c>
      <c r="H363" s="1318">
        <v>0</v>
      </c>
    </row>
    <row r="364" spans="4:8">
      <c r="D364" s="1317" t="s">
        <v>344</v>
      </c>
      <c r="E364" s="1318">
        <v>1153357</v>
      </c>
      <c r="F364" s="1318">
        <v>0</v>
      </c>
      <c r="G364" s="1318">
        <v>0</v>
      </c>
      <c r="H364" s="1318">
        <v>0</v>
      </c>
    </row>
    <row r="365" spans="4:8">
      <c r="D365" s="1317" t="s">
        <v>722</v>
      </c>
      <c r="E365" s="1318">
        <v>0</v>
      </c>
      <c r="F365" s="1318">
        <v>0</v>
      </c>
      <c r="G365" s="1318">
        <v>1378113</v>
      </c>
      <c r="H365" s="1318">
        <v>0</v>
      </c>
    </row>
    <row r="366" spans="4:8">
      <c r="D366" s="1317" t="s">
        <v>350</v>
      </c>
      <c r="E366" s="1318">
        <v>2982040</v>
      </c>
      <c r="F366" s="1318">
        <v>0</v>
      </c>
      <c r="G366" s="1318">
        <v>2024393</v>
      </c>
      <c r="H366" s="1318">
        <v>0</v>
      </c>
    </row>
    <row r="367" spans="4:8">
      <c r="D367" s="1317" t="s">
        <v>351</v>
      </c>
      <c r="E367" s="1318">
        <v>108452</v>
      </c>
      <c r="F367" s="1318">
        <v>0</v>
      </c>
      <c r="G367" s="1318">
        <v>0</v>
      </c>
      <c r="H367" s="1318">
        <v>0</v>
      </c>
    </row>
    <row r="368" spans="4:8">
      <c r="D368" s="1317" t="s">
        <v>516</v>
      </c>
      <c r="E368" s="1318">
        <v>0</v>
      </c>
      <c r="F368" s="1318">
        <v>0</v>
      </c>
      <c r="G368" s="1318">
        <v>175720</v>
      </c>
      <c r="H368" s="1318">
        <v>0</v>
      </c>
    </row>
    <row r="369" spans="3:8">
      <c r="D369" s="1317" t="s">
        <v>518</v>
      </c>
      <c r="E369" s="1318">
        <v>0</v>
      </c>
      <c r="F369" s="1318">
        <v>0</v>
      </c>
      <c r="G369" s="1318">
        <v>398247</v>
      </c>
      <c r="H369" s="1318">
        <v>0</v>
      </c>
    </row>
    <row r="370" spans="3:8">
      <c r="D370" s="1317" t="s">
        <v>368</v>
      </c>
      <c r="E370" s="1318">
        <v>213539</v>
      </c>
      <c r="F370" s="1318">
        <v>0</v>
      </c>
      <c r="G370" s="1318">
        <v>0</v>
      </c>
      <c r="H370" s="1318">
        <v>0</v>
      </c>
    </row>
    <row r="371" spans="3:8">
      <c r="D371" s="1317" t="s">
        <v>370</v>
      </c>
      <c r="E371" s="1318">
        <v>1168754</v>
      </c>
      <c r="F371" s="1318">
        <v>0</v>
      </c>
      <c r="G371" s="1318">
        <v>1029518</v>
      </c>
      <c r="H371" s="1318">
        <v>0</v>
      </c>
    </row>
    <row r="372" spans="3:8">
      <c r="D372" s="1317" t="s">
        <v>525</v>
      </c>
      <c r="E372" s="1318">
        <v>0</v>
      </c>
      <c r="F372" s="1318">
        <v>0</v>
      </c>
      <c r="G372" s="1318">
        <v>235492</v>
      </c>
      <c r="H372" s="1318">
        <v>0</v>
      </c>
    </row>
    <row r="373" spans="3:8">
      <c r="D373" s="1317" t="s">
        <v>391</v>
      </c>
      <c r="E373" s="1318">
        <v>333284</v>
      </c>
      <c r="F373" s="1318">
        <v>0</v>
      </c>
      <c r="G373" s="1318">
        <v>0</v>
      </c>
      <c r="H373" s="1318">
        <v>0</v>
      </c>
    </row>
    <row r="374" spans="3:8">
      <c r="D374" s="1317" t="s">
        <v>395</v>
      </c>
      <c r="E374" s="1318">
        <v>122689</v>
      </c>
      <c r="F374" s="1318">
        <v>0</v>
      </c>
      <c r="G374" s="1318">
        <v>0</v>
      </c>
      <c r="H374" s="1318">
        <v>0</v>
      </c>
    </row>
    <row r="375" spans="3:8">
      <c r="D375" s="1317" t="s">
        <v>535</v>
      </c>
      <c r="E375" s="1318">
        <v>0</v>
      </c>
      <c r="F375" s="1318">
        <v>0</v>
      </c>
      <c r="G375" s="1318">
        <v>151873</v>
      </c>
      <c r="H375" s="1318">
        <v>0</v>
      </c>
    </row>
    <row r="376" spans="3:8">
      <c r="D376" s="1317" t="s">
        <v>538</v>
      </c>
      <c r="E376" s="1318">
        <v>0</v>
      </c>
      <c r="F376" s="1318">
        <v>0</v>
      </c>
      <c r="G376" s="1318">
        <v>204778</v>
      </c>
      <c r="H376" s="1318">
        <v>0</v>
      </c>
    </row>
    <row r="377" spans="3:8">
      <c r="D377" s="1317" t="s">
        <v>417</v>
      </c>
      <c r="E377" s="1318">
        <v>18060676</v>
      </c>
      <c r="F377" s="1318">
        <v>0</v>
      </c>
      <c r="G377" s="1318">
        <v>19528757</v>
      </c>
      <c r="H377" s="1318">
        <v>0</v>
      </c>
    </row>
    <row r="378" spans="3:8">
      <c r="C378" s="1317" t="s">
        <v>1187</v>
      </c>
      <c r="E378" s="1318">
        <v>75012283</v>
      </c>
      <c r="F378" s="1318">
        <v>32648</v>
      </c>
      <c r="G378" s="1318">
        <v>71582562.5</v>
      </c>
      <c r="H378" s="1318">
        <v>7758</v>
      </c>
    </row>
    <row r="379" spans="3:8">
      <c r="C379" s="1317" t="s">
        <v>565</v>
      </c>
      <c r="D379" s="1317" t="s">
        <v>1297</v>
      </c>
      <c r="E379" s="1318">
        <v>3355331</v>
      </c>
      <c r="F379" s="1318">
        <v>0</v>
      </c>
      <c r="G379" s="1318">
        <v>0</v>
      </c>
      <c r="H379" s="1318">
        <v>0</v>
      </c>
    </row>
    <row r="380" spans="3:8">
      <c r="C380" s="1317" t="s">
        <v>1188</v>
      </c>
      <c r="E380" s="1318">
        <v>3355331</v>
      </c>
      <c r="F380" s="1318">
        <v>0</v>
      </c>
      <c r="G380" s="1318">
        <v>0</v>
      </c>
      <c r="H380" s="1318">
        <v>0</v>
      </c>
    </row>
    <row r="381" spans="3:8">
      <c r="C381" s="1317" t="s">
        <v>563</v>
      </c>
      <c r="D381" s="1317" t="s">
        <v>436</v>
      </c>
      <c r="E381" s="1318">
        <v>0</v>
      </c>
      <c r="F381" s="1318">
        <v>0</v>
      </c>
      <c r="G381" s="1318">
        <v>2018054</v>
      </c>
      <c r="H381" s="1318">
        <v>0</v>
      </c>
    </row>
    <row r="382" spans="3:8">
      <c r="D382" s="1317" t="s">
        <v>461</v>
      </c>
      <c r="E382" s="1318">
        <v>0</v>
      </c>
      <c r="F382" s="1318">
        <v>0</v>
      </c>
      <c r="G382" s="1318">
        <v>1729264</v>
      </c>
      <c r="H382" s="1318">
        <v>0</v>
      </c>
    </row>
    <row r="383" spans="3:8">
      <c r="D383" s="1317" t="s">
        <v>201</v>
      </c>
      <c r="E383" s="1318">
        <v>16519422</v>
      </c>
      <c r="F383" s="1318">
        <v>0</v>
      </c>
      <c r="G383" s="1318">
        <v>14635343</v>
      </c>
      <c r="H383" s="1318">
        <v>0</v>
      </c>
    </row>
    <row r="384" spans="3:8">
      <c r="D384" s="1317" t="s">
        <v>517</v>
      </c>
      <c r="E384" s="1318">
        <v>0</v>
      </c>
      <c r="F384" s="1318">
        <v>0</v>
      </c>
      <c r="G384" s="1318">
        <v>0</v>
      </c>
      <c r="H384" s="1318">
        <v>0</v>
      </c>
    </row>
    <row r="385" spans="1:8">
      <c r="D385" s="1317" t="s">
        <v>520</v>
      </c>
      <c r="E385" s="1318">
        <v>0</v>
      </c>
      <c r="F385" s="1318">
        <v>0</v>
      </c>
      <c r="G385" s="1318">
        <v>0</v>
      </c>
      <c r="H385" s="1318">
        <v>0</v>
      </c>
    </row>
    <row r="386" spans="1:8">
      <c r="C386" s="1317" t="s">
        <v>1117</v>
      </c>
      <c r="E386" s="1318">
        <v>16519422</v>
      </c>
      <c r="F386" s="1318">
        <v>0</v>
      </c>
      <c r="G386" s="1318">
        <v>18382661</v>
      </c>
      <c r="H386" s="1318">
        <v>0</v>
      </c>
    </row>
    <row r="387" spans="1:8">
      <c r="B387" s="1317" t="s">
        <v>1117</v>
      </c>
      <c r="E387" s="1318">
        <v>94887036</v>
      </c>
      <c r="F387" s="1318">
        <v>32648</v>
      </c>
      <c r="G387" s="1318">
        <v>89965223.5</v>
      </c>
      <c r="H387" s="1318">
        <v>7758</v>
      </c>
    </row>
    <row r="388" spans="1:8">
      <c r="A388" s="1317" t="s">
        <v>1148</v>
      </c>
      <c r="E388" s="1318">
        <v>94887036</v>
      </c>
      <c r="F388" s="1318">
        <v>32648</v>
      </c>
      <c r="G388" s="1318">
        <v>89965223.5</v>
      </c>
      <c r="H388" s="1318">
        <v>7758</v>
      </c>
    </row>
    <row r="389" spans="1:8">
      <c r="A389" s="1317">
        <v>16</v>
      </c>
      <c r="B389" s="1317" t="s">
        <v>601</v>
      </c>
      <c r="C389" s="1317" t="s">
        <v>708</v>
      </c>
      <c r="D389" s="1317" t="s">
        <v>334</v>
      </c>
      <c r="E389" s="1318">
        <v>49097</v>
      </c>
      <c r="F389" s="1318">
        <v>0</v>
      </c>
      <c r="G389" s="1318">
        <v>13126.5</v>
      </c>
      <c r="H389" s="1318">
        <v>0</v>
      </c>
    </row>
    <row r="390" spans="1:8">
      <c r="C390" s="1317" t="s">
        <v>1189</v>
      </c>
      <c r="E390" s="1318">
        <v>49097</v>
      </c>
      <c r="F390" s="1318">
        <v>0</v>
      </c>
      <c r="G390" s="1318">
        <v>13126.5</v>
      </c>
      <c r="H390" s="1318">
        <v>0</v>
      </c>
    </row>
    <row r="391" spans="1:8">
      <c r="C391" s="1317" t="s">
        <v>707</v>
      </c>
      <c r="D391" s="1317" t="s">
        <v>706</v>
      </c>
      <c r="E391" s="1318">
        <v>83453.5</v>
      </c>
      <c r="F391" s="1318">
        <v>0</v>
      </c>
      <c r="G391" s="1318">
        <v>192300</v>
      </c>
      <c r="H391" s="1318">
        <v>0</v>
      </c>
    </row>
    <row r="392" spans="1:8">
      <c r="C392" s="1317" t="s">
        <v>1190</v>
      </c>
      <c r="E392" s="1318">
        <v>83453.5</v>
      </c>
      <c r="F392" s="1318">
        <v>0</v>
      </c>
      <c r="G392" s="1318">
        <v>192300</v>
      </c>
      <c r="H392" s="1318">
        <v>0</v>
      </c>
    </row>
    <row r="393" spans="1:8">
      <c r="C393" s="1317" t="s">
        <v>602</v>
      </c>
      <c r="D393" s="1317" t="s">
        <v>600</v>
      </c>
      <c r="E393" s="1318">
        <v>234166</v>
      </c>
      <c r="F393" s="1318">
        <v>0</v>
      </c>
      <c r="G393" s="1318">
        <v>83523</v>
      </c>
      <c r="H393" s="1318">
        <v>0</v>
      </c>
    </row>
    <row r="394" spans="1:8">
      <c r="C394" s="1317" t="s">
        <v>1191</v>
      </c>
      <c r="E394" s="1318">
        <v>234166</v>
      </c>
      <c r="F394" s="1318">
        <v>0</v>
      </c>
      <c r="G394" s="1318">
        <v>83523</v>
      </c>
      <c r="H394" s="1318">
        <v>0</v>
      </c>
    </row>
    <row r="395" spans="1:8">
      <c r="B395" s="1317" t="s">
        <v>1118</v>
      </c>
      <c r="E395" s="1318">
        <v>366716.5</v>
      </c>
      <c r="F395" s="1318">
        <v>0</v>
      </c>
      <c r="G395" s="1318">
        <v>288949.5</v>
      </c>
      <c r="H395" s="1318">
        <v>0</v>
      </c>
    </row>
    <row r="396" spans="1:8">
      <c r="A396" s="1317" t="s">
        <v>1149</v>
      </c>
      <c r="E396" s="1318">
        <v>366716.5</v>
      </c>
      <c r="F396" s="1318">
        <v>0</v>
      </c>
      <c r="G396" s="1318">
        <v>288949.5</v>
      </c>
      <c r="H396" s="1318">
        <v>0</v>
      </c>
    </row>
    <row r="397" spans="1:8">
      <c r="A397" s="1317">
        <v>17</v>
      </c>
      <c r="B397" s="1317" t="s">
        <v>572</v>
      </c>
      <c r="C397" s="1317" t="s">
        <v>573</v>
      </c>
      <c r="D397" s="1317" t="s">
        <v>426</v>
      </c>
      <c r="E397" s="1318">
        <v>0</v>
      </c>
      <c r="F397" s="1318">
        <v>0</v>
      </c>
      <c r="G397" s="1318">
        <v>278760</v>
      </c>
      <c r="H397" s="1318">
        <v>0</v>
      </c>
    </row>
    <row r="398" spans="1:8">
      <c r="D398" s="1317" t="s">
        <v>78</v>
      </c>
      <c r="E398" s="1318">
        <v>42915.89</v>
      </c>
      <c r="F398" s="1318">
        <v>0</v>
      </c>
      <c r="G398" s="1318">
        <v>42915.89</v>
      </c>
      <c r="H398" s="1318">
        <v>0</v>
      </c>
    </row>
    <row r="399" spans="1:8">
      <c r="D399" s="1317" t="s">
        <v>443</v>
      </c>
      <c r="E399" s="1318">
        <v>0</v>
      </c>
      <c r="F399" s="1318">
        <v>0</v>
      </c>
      <c r="G399" s="1318">
        <v>1240241</v>
      </c>
      <c r="H399" s="1318">
        <v>0</v>
      </c>
    </row>
    <row r="400" spans="1:8">
      <c r="D400" s="1317" t="s">
        <v>110</v>
      </c>
      <c r="E400" s="1318">
        <v>18000</v>
      </c>
      <c r="F400" s="1318">
        <v>0</v>
      </c>
      <c r="G400" s="1318">
        <v>0</v>
      </c>
      <c r="H400" s="1318">
        <v>0</v>
      </c>
    </row>
    <row r="401" spans="1:10">
      <c r="D401" s="1317" t="s">
        <v>155</v>
      </c>
      <c r="E401" s="1318">
        <v>932</v>
      </c>
      <c r="F401" s="1318">
        <v>0</v>
      </c>
      <c r="G401" s="1318">
        <v>0</v>
      </c>
      <c r="H401" s="1318">
        <v>0</v>
      </c>
    </row>
    <row r="402" spans="1:10">
      <c r="D402" s="1317" t="s">
        <v>214</v>
      </c>
      <c r="E402" s="1319">
        <v>4609940</v>
      </c>
      <c r="F402" s="1318">
        <v>0</v>
      </c>
      <c r="G402" s="1318">
        <v>5000454</v>
      </c>
      <c r="H402" s="1318">
        <v>0</v>
      </c>
    </row>
    <row r="403" spans="1:10">
      <c r="D403" s="1317" t="s">
        <v>227</v>
      </c>
      <c r="E403" s="1318">
        <v>67712.89</v>
      </c>
      <c r="F403" s="1318">
        <v>0</v>
      </c>
      <c r="G403" s="1318">
        <v>67712.89</v>
      </c>
      <c r="H403" s="1318">
        <v>0</v>
      </c>
    </row>
    <row r="404" spans="1:10">
      <c r="D404" s="1317" t="s">
        <v>242</v>
      </c>
      <c r="E404" s="1318">
        <v>25000</v>
      </c>
      <c r="F404" s="1318">
        <v>0</v>
      </c>
      <c r="G404" s="1318">
        <v>50000</v>
      </c>
      <c r="H404" s="1318">
        <v>0</v>
      </c>
    </row>
    <row r="405" spans="1:10">
      <c r="D405" s="1317" t="s">
        <v>412</v>
      </c>
      <c r="E405" s="1318">
        <v>0</v>
      </c>
      <c r="F405" s="1318">
        <v>841449.98</v>
      </c>
      <c r="G405" s="1318">
        <v>0</v>
      </c>
      <c r="H405" s="1318">
        <v>759998.6</v>
      </c>
      <c r="J405" s="19">
        <f>GETPIVOTDATA("Sum of DR-DEC 19",$A$3,"Note",17)-GETPIVOTDATA("Sum of CR-DEC 19",$A$3,"Note",17)</f>
        <v>5920085.1800000006</v>
      </c>
    </row>
    <row r="406" spans="1:10">
      <c r="C406" s="1317" t="s">
        <v>1192</v>
      </c>
      <c r="E406" s="1318">
        <v>4764500.7799999993</v>
      </c>
      <c r="F406" s="1318">
        <v>841449.98</v>
      </c>
      <c r="G406" s="1318">
        <v>6680083.7800000003</v>
      </c>
      <c r="H406" s="1318">
        <v>759998.6</v>
      </c>
    </row>
    <row r="407" spans="1:10">
      <c r="B407" s="1317" t="s">
        <v>1134</v>
      </c>
      <c r="E407" s="1318">
        <v>4764500.7799999993</v>
      </c>
      <c r="F407" s="1318">
        <v>841449.98</v>
      </c>
      <c r="G407" s="1318">
        <v>6680083.7800000003</v>
      </c>
      <c r="H407" s="1318">
        <v>759998.6</v>
      </c>
    </row>
    <row r="408" spans="1:10">
      <c r="A408" s="1317" t="s">
        <v>1150</v>
      </c>
      <c r="E408" s="1318">
        <v>4764500.7799999993</v>
      </c>
      <c r="F408" s="1318">
        <v>841449.98</v>
      </c>
      <c r="G408" s="1318">
        <v>6680083.7800000003</v>
      </c>
      <c r="H408" s="1318">
        <v>759998.6</v>
      </c>
    </row>
    <row r="409" spans="1:10">
      <c r="A409" s="1317">
        <v>18</v>
      </c>
      <c r="B409" s="1317" t="s">
        <v>655</v>
      </c>
      <c r="C409" s="1317" t="s">
        <v>573</v>
      </c>
      <c r="D409" s="1317" t="s">
        <v>94</v>
      </c>
      <c r="E409" s="1318">
        <v>470000</v>
      </c>
      <c r="F409" s="1318">
        <v>0</v>
      </c>
      <c r="G409" s="1318">
        <v>50000</v>
      </c>
      <c r="H409" s="1318">
        <v>0</v>
      </c>
    </row>
    <row r="410" spans="1:10">
      <c r="C410" s="1317" t="s">
        <v>1192</v>
      </c>
      <c r="E410" s="1318">
        <v>470000</v>
      </c>
      <c r="F410" s="1318">
        <v>0</v>
      </c>
      <c r="G410" s="1318">
        <v>50000</v>
      </c>
      <c r="H410" s="1318">
        <v>0</v>
      </c>
    </row>
    <row r="411" spans="1:10">
      <c r="C411" s="1317" t="s">
        <v>656</v>
      </c>
      <c r="D411" s="1317" t="s">
        <v>466</v>
      </c>
      <c r="E411" s="1318">
        <v>0</v>
      </c>
      <c r="F411" s="1318">
        <v>0</v>
      </c>
      <c r="G411" s="1318">
        <v>380717</v>
      </c>
      <c r="H411" s="1318">
        <v>0</v>
      </c>
    </row>
    <row r="412" spans="1:10">
      <c r="C412" s="1317" t="s">
        <v>1193</v>
      </c>
      <c r="E412" s="1318">
        <v>0</v>
      </c>
      <c r="F412" s="1318">
        <v>0</v>
      </c>
      <c r="G412" s="1318">
        <v>380717</v>
      </c>
      <c r="H412" s="1318">
        <v>0</v>
      </c>
    </row>
    <row r="413" spans="1:10">
      <c r="C413" s="1317" t="s">
        <v>657</v>
      </c>
      <c r="D413" s="1317" t="s">
        <v>159</v>
      </c>
      <c r="E413" s="1318">
        <v>414161</v>
      </c>
      <c r="F413" s="1318">
        <v>0</v>
      </c>
      <c r="G413" s="1318">
        <v>432678</v>
      </c>
      <c r="H413" s="1318">
        <v>0</v>
      </c>
    </row>
    <row r="414" spans="1:10">
      <c r="D414" s="1317" t="s">
        <v>267</v>
      </c>
      <c r="E414" s="1318">
        <v>299526</v>
      </c>
      <c r="F414" s="1318">
        <v>0</v>
      </c>
      <c r="G414" s="1318">
        <v>493128</v>
      </c>
      <c r="H414" s="1318">
        <v>0</v>
      </c>
    </row>
    <row r="415" spans="1:10">
      <c r="C415" s="1317" t="s">
        <v>1194</v>
      </c>
      <c r="E415" s="1318">
        <v>713687</v>
      </c>
      <c r="F415" s="1318">
        <v>0</v>
      </c>
      <c r="G415" s="1318">
        <v>925806</v>
      </c>
      <c r="H415" s="1318">
        <v>0</v>
      </c>
    </row>
    <row r="416" spans="1:10">
      <c r="B416" s="1317" t="s">
        <v>1126</v>
      </c>
      <c r="E416" s="1318">
        <v>1183687</v>
      </c>
      <c r="F416" s="1318">
        <v>0</v>
      </c>
      <c r="G416" s="1318">
        <v>1356523</v>
      </c>
      <c r="H416" s="1318">
        <v>0</v>
      </c>
    </row>
    <row r="417" spans="1:8">
      <c r="A417" s="1317" t="s">
        <v>1151</v>
      </c>
      <c r="E417" s="1318">
        <v>1183687</v>
      </c>
      <c r="F417" s="1318">
        <v>0</v>
      </c>
      <c r="G417" s="1318">
        <v>1356523</v>
      </c>
      <c r="H417" s="1318">
        <v>0</v>
      </c>
    </row>
    <row r="418" spans="1:8">
      <c r="A418" s="1317">
        <v>19</v>
      </c>
      <c r="B418" s="1317" t="s">
        <v>617</v>
      </c>
      <c r="C418" s="1317" t="s">
        <v>618</v>
      </c>
      <c r="D418" s="1317" t="s">
        <v>107</v>
      </c>
      <c r="E418" s="1318">
        <v>30585779</v>
      </c>
      <c r="F418" s="1318">
        <v>0</v>
      </c>
      <c r="G418" s="1318">
        <v>28782260</v>
      </c>
      <c r="H418" s="1318">
        <v>0</v>
      </c>
    </row>
    <row r="419" spans="1:8">
      <c r="D419" s="1317" t="s">
        <v>118</v>
      </c>
      <c r="E419" s="1318">
        <v>0</v>
      </c>
      <c r="F419" s="1318">
        <v>10652264</v>
      </c>
      <c r="G419" s="1318">
        <v>0</v>
      </c>
      <c r="H419" s="1318">
        <v>0</v>
      </c>
    </row>
    <row r="420" spans="1:8">
      <c r="D420" s="1317" t="s">
        <v>134</v>
      </c>
      <c r="E420" s="1318">
        <v>0</v>
      </c>
      <c r="F420" s="1318">
        <v>1160</v>
      </c>
      <c r="G420" s="1318">
        <v>0</v>
      </c>
      <c r="H420" s="1318">
        <v>0</v>
      </c>
    </row>
    <row r="421" spans="1:8">
      <c r="D421" s="1317" t="s">
        <v>253</v>
      </c>
      <c r="E421" s="1318">
        <v>0</v>
      </c>
      <c r="F421" s="1318">
        <v>497880</v>
      </c>
      <c r="G421" s="1318">
        <v>0</v>
      </c>
      <c r="H421" s="1318">
        <v>535495</v>
      </c>
    </row>
    <row r="422" spans="1:8">
      <c r="D422" s="1317" t="s">
        <v>716</v>
      </c>
      <c r="E422" s="1318">
        <v>0</v>
      </c>
      <c r="F422" s="1318">
        <v>755246</v>
      </c>
      <c r="G422" s="1318">
        <v>0</v>
      </c>
      <c r="H422" s="1318">
        <v>1026721.38</v>
      </c>
    </row>
    <row r="423" spans="1:8">
      <c r="D423" s="1317" t="s">
        <v>325</v>
      </c>
      <c r="E423" s="1318">
        <v>0</v>
      </c>
      <c r="F423" s="1318">
        <v>609002318.29999995</v>
      </c>
      <c r="G423" s="1318">
        <v>0</v>
      </c>
      <c r="H423" s="1318">
        <v>681697693.20000005</v>
      </c>
    </row>
    <row r="424" spans="1:8">
      <c r="D424" s="1317" t="s">
        <v>326</v>
      </c>
      <c r="E424" s="1318">
        <v>0</v>
      </c>
      <c r="F424" s="1318">
        <v>77113878.299999997</v>
      </c>
      <c r="G424" s="1318">
        <v>0</v>
      </c>
      <c r="H424" s="1318">
        <v>106464666.95</v>
      </c>
    </row>
    <row r="425" spans="1:8">
      <c r="D425" s="1317" t="s">
        <v>327</v>
      </c>
      <c r="E425" s="1318">
        <v>245586</v>
      </c>
      <c r="F425" s="1318">
        <v>0</v>
      </c>
      <c r="G425" s="1318">
        <v>0</v>
      </c>
      <c r="H425" s="1318">
        <v>0</v>
      </c>
    </row>
    <row r="426" spans="1:8">
      <c r="D426" s="1317" t="s">
        <v>341</v>
      </c>
      <c r="E426" s="1318">
        <v>0</v>
      </c>
      <c r="F426" s="1318">
        <v>21264856</v>
      </c>
      <c r="G426" s="1318">
        <v>0</v>
      </c>
      <c r="H426" s="1318">
        <v>35395001</v>
      </c>
    </row>
    <row r="427" spans="1:8">
      <c r="D427" s="1317" t="s">
        <v>356</v>
      </c>
      <c r="E427" s="1318">
        <v>100400</v>
      </c>
      <c r="F427" s="1318">
        <v>0</v>
      </c>
      <c r="G427" s="1318">
        <v>116242.2</v>
      </c>
      <c r="H427" s="1318">
        <v>0</v>
      </c>
    </row>
    <row r="428" spans="1:8">
      <c r="D428" s="1317" t="s">
        <v>737</v>
      </c>
      <c r="E428" s="1318">
        <v>61964</v>
      </c>
      <c r="F428" s="1318">
        <v>0</v>
      </c>
      <c r="G428" s="1318">
        <v>16463</v>
      </c>
      <c r="H428" s="1318">
        <v>0</v>
      </c>
    </row>
    <row r="429" spans="1:8">
      <c r="C429" s="1317" t="s">
        <v>1195</v>
      </c>
      <c r="E429" s="1318">
        <v>30993729</v>
      </c>
      <c r="F429" s="1318">
        <v>719287602.5999999</v>
      </c>
      <c r="G429" s="1318">
        <v>28914965.199999999</v>
      </c>
      <c r="H429" s="1318">
        <v>825119577.53000009</v>
      </c>
    </row>
    <row r="430" spans="1:8">
      <c r="B430" s="1317" t="s">
        <v>1131</v>
      </c>
      <c r="E430" s="1318">
        <v>30993729</v>
      </c>
      <c r="F430" s="1318">
        <v>719287602.5999999</v>
      </c>
      <c r="G430" s="1318">
        <v>28914965.199999999</v>
      </c>
      <c r="H430" s="1318">
        <v>825119577.53000009</v>
      </c>
    </row>
    <row r="431" spans="1:8">
      <c r="A431" s="1317" t="s">
        <v>1152</v>
      </c>
      <c r="E431" s="1318">
        <v>30993729</v>
      </c>
      <c r="F431" s="1318">
        <v>719287602.5999999</v>
      </c>
      <c r="G431" s="1318">
        <v>28914965.199999999</v>
      </c>
      <c r="H431" s="1318">
        <v>825119577.53000009</v>
      </c>
    </row>
    <row r="432" spans="1:8">
      <c r="A432" s="1317">
        <v>20</v>
      </c>
      <c r="B432" s="1317" t="s">
        <v>643</v>
      </c>
      <c r="C432" s="1317" t="s">
        <v>38</v>
      </c>
      <c r="D432" s="1317" t="s">
        <v>38</v>
      </c>
      <c r="E432" s="1318">
        <v>0</v>
      </c>
      <c r="F432" s="1318">
        <v>6442</v>
      </c>
      <c r="G432" s="1318">
        <v>0</v>
      </c>
      <c r="H432" s="1318">
        <v>0</v>
      </c>
    </row>
    <row r="433" spans="1:8">
      <c r="C433" s="1317" t="s">
        <v>1196</v>
      </c>
      <c r="E433" s="1318">
        <v>0</v>
      </c>
      <c r="F433" s="1318">
        <v>6442</v>
      </c>
      <c r="G433" s="1318">
        <v>0</v>
      </c>
      <c r="H433" s="1318">
        <v>0</v>
      </c>
    </row>
    <row r="434" spans="1:8">
      <c r="C434" s="1317" t="s">
        <v>644</v>
      </c>
      <c r="D434" s="1317" t="s">
        <v>130</v>
      </c>
      <c r="E434" s="1318">
        <v>0</v>
      </c>
      <c r="F434" s="1318">
        <v>588805</v>
      </c>
      <c r="G434" s="1318">
        <v>0</v>
      </c>
      <c r="H434" s="1318">
        <v>772877</v>
      </c>
    </row>
    <row r="435" spans="1:8">
      <c r="C435" s="1317" t="s">
        <v>1197</v>
      </c>
      <c r="E435" s="1318">
        <v>0</v>
      </c>
      <c r="F435" s="1318">
        <v>588805</v>
      </c>
      <c r="G435" s="1318">
        <v>0</v>
      </c>
      <c r="H435" s="1318">
        <v>772877</v>
      </c>
    </row>
    <row r="436" spans="1:8">
      <c r="C436" s="1317" t="s">
        <v>658</v>
      </c>
      <c r="D436" s="1317" t="s">
        <v>163</v>
      </c>
      <c r="E436" s="1318">
        <v>0</v>
      </c>
      <c r="F436" s="1318">
        <v>169041</v>
      </c>
      <c r="G436" s="1318">
        <v>0</v>
      </c>
      <c r="H436" s="1318">
        <v>183449.05</v>
      </c>
    </row>
    <row r="437" spans="1:8">
      <c r="C437" s="1317" t="s">
        <v>1198</v>
      </c>
      <c r="E437" s="1318">
        <v>0</v>
      </c>
      <c r="F437" s="1318">
        <v>169041</v>
      </c>
      <c r="G437" s="1318">
        <v>0</v>
      </c>
      <c r="H437" s="1318">
        <v>183449.05</v>
      </c>
    </row>
    <row r="438" spans="1:8">
      <c r="C438" s="1317" t="s">
        <v>643</v>
      </c>
      <c r="D438" s="1317" t="s">
        <v>659</v>
      </c>
      <c r="E438" s="1318">
        <v>0</v>
      </c>
      <c r="F438" s="1318">
        <v>0</v>
      </c>
      <c r="G438" s="1318">
        <v>0</v>
      </c>
      <c r="H438" s="1318">
        <v>0</v>
      </c>
    </row>
    <row r="439" spans="1:8">
      <c r="D439" s="1317" t="s">
        <v>468</v>
      </c>
      <c r="E439" s="1318">
        <v>0</v>
      </c>
      <c r="F439" s="1318">
        <v>0</v>
      </c>
      <c r="G439" s="1318">
        <v>0</v>
      </c>
      <c r="H439" s="1318">
        <v>47130</v>
      </c>
    </row>
    <row r="440" spans="1:8">
      <c r="D440" s="1317" t="s">
        <v>272</v>
      </c>
      <c r="E440" s="1318">
        <v>0</v>
      </c>
      <c r="F440" s="1318">
        <v>9443500</v>
      </c>
      <c r="G440" s="1318">
        <v>0</v>
      </c>
      <c r="H440" s="1318">
        <v>9443500</v>
      </c>
    </row>
    <row r="441" spans="1:8">
      <c r="D441" s="1317" t="s">
        <v>643</v>
      </c>
      <c r="E441" s="1318">
        <v>0</v>
      </c>
      <c r="F441" s="1318">
        <v>490</v>
      </c>
      <c r="G441" s="1318">
        <v>0</v>
      </c>
      <c r="H441" s="1318"/>
    </row>
    <row r="442" spans="1:8">
      <c r="D442" s="1317" t="s">
        <v>1310</v>
      </c>
      <c r="E442" s="1318">
        <v>0</v>
      </c>
      <c r="F442" s="1318">
        <v>8724</v>
      </c>
      <c r="G442" s="1318">
        <v>0</v>
      </c>
      <c r="H442" s="1318"/>
    </row>
    <row r="443" spans="1:8">
      <c r="C443" s="1317" t="s">
        <v>1115</v>
      </c>
      <c r="E443" s="1318">
        <v>0</v>
      </c>
      <c r="F443" s="1318">
        <v>9452714</v>
      </c>
      <c r="G443" s="1318">
        <v>0</v>
      </c>
      <c r="H443" s="1318">
        <v>9490630</v>
      </c>
    </row>
    <row r="444" spans="1:8">
      <c r="C444" s="1317" t="s">
        <v>271</v>
      </c>
      <c r="D444" s="1317" t="s">
        <v>271</v>
      </c>
      <c r="E444" s="1318">
        <v>0</v>
      </c>
      <c r="F444" s="1318">
        <v>18263</v>
      </c>
      <c r="G444" s="1318">
        <v>0</v>
      </c>
      <c r="H444" s="1318">
        <v>0</v>
      </c>
    </row>
    <row r="445" spans="1:8">
      <c r="C445" s="1317" t="s">
        <v>1199</v>
      </c>
      <c r="E445" s="1318">
        <v>0</v>
      </c>
      <c r="F445" s="1318">
        <v>18263</v>
      </c>
      <c r="G445" s="1318">
        <v>0</v>
      </c>
      <c r="H445" s="1318">
        <v>0</v>
      </c>
    </row>
    <row r="446" spans="1:8">
      <c r="B446" s="1317" t="s">
        <v>1115</v>
      </c>
      <c r="E446" s="1318">
        <v>0</v>
      </c>
      <c r="F446" s="1318">
        <v>10235265</v>
      </c>
      <c r="G446" s="1318">
        <v>0</v>
      </c>
      <c r="H446" s="1318">
        <v>10446956.050000001</v>
      </c>
    </row>
    <row r="447" spans="1:8">
      <c r="A447" s="1317" t="s">
        <v>1153</v>
      </c>
      <c r="E447" s="1318">
        <v>0</v>
      </c>
      <c r="F447" s="1318">
        <v>10235265</v>
      </c>
      <c r="G447" s="1318">
        <v>0</v>
      </c>
      <c r="H447" s="1318">
        <v>10446956.050000001</v>
      </c>
    </row>
    <row r="448" spans="1:8">
      <c r="A448" s="1317">
        <v>22</v>
      </c>
      <c r="B448" s="1317" t="s">
        <v>581</v>
      </c>
      <c r="C448" s="1317" t="s">
        <v>582</v>
      </c>
      <c r="D448" s="1317" t="s">
        <v>67</v>
      </c>
      <c r="E448" s="1318">
        <v>41533028.75</v>
      </c>
      <c r="F448" s="1318">
        <v>0</v>
      </c>
      <c r="G448" s="1318">
        <v>46318754.25</v>
      </c>
      <c r="H448" s="1318">
        <v>0</v>
      </c>
    </row>
    <row r="449" spans="2:8">
      <c r="D449" s="1317" t="s">
        <v>70</v>
      </c>
      <c r="E449" s="1318">
        <v>48514808.600000001</v>
      </c>
      <c r="F449" s="1318">
        <v>0</v>
      </c>
      <c r="G449" s="1318">
        <v>36176357.159999996</v>
      </c>
      <c r="H449" s="1318">
        <v>0</v>
      </c>
    </row>
    <row r="450" spans="2:8">
      <c r="D450" s="1317" t="s">
        <v>453</v>
      </c>
      <c r="E450" s="1318">
        <v>0</v>
      </c>
      <c r="F450" s="1318">
        <v>0</v>
      </c>
      <c r="G450" s="1318">
        <v>17535</v>
      </c>
      <c r="H450" s="1318">
        <v>0</v>
      </c>
    </row>
    <row r="451" spans="2:8">
      <c r="D451" s="1317" t="s">
        <v>131</v>
      </c>
      <c r="E451" s="1318">
        <v>358420</v>
      </c>
      <c r="F451" s="1318">
        <v>0</v>
      </c>
      <c r="G451" s="1318">
        <v>302265</v>
      </c>
      <c r="H451" s="1318">
        <v>0</v>
      </c>
    </row>
    <row r="452" spans="2:8">
      <c r="D452" s="1317" t="s">
        <v>150</v>
      </c>
      <c r="E452" s="1318">
        <v>119902440.14</v>
      </c>
      <c r="F452" s="1318">
        <v>0</v>
      </c>
      <c r="G452" s="1318">
        <v>127006722.05</v>
      </c>
      <c r="H452" s="1318">
        <v>0</v>
      </c>
    </row>
    <row r="453" spans="2:8">
      <c r="D453" s="1317" t="s">
        <v>245</v>
      </c>
      <c r="E453" s="1318">
        <v>33607</v>
      </c>
      <c r="F453" s="1318">
        <v>0</v>
      </c>
      <c r="G453" s="1318">
        <v>20190</v>
      </c>
      <c r="H453" s="1318">
        <v>0</v>
      </c>
    </row>
    <row r="454" spans="2:8">
      <c r="D454" s="1317" t="s">
        <v>246</v>
      </c>
      <c r="E454" s="1318">
        <v>2080</v>
      </c>
      <c r="F454" s="1318">
        <v>0</v>
      </c>
      <c r="G454" s="1318">
        <v>0</v>
      </c>
      <c r="H454" s="1318">
        <v>0</v>
      </c>
    </row>
    <row r="455" spans="2:8">
      <c r="D455" s="1317" t="s">
        <v>250</v>
      </c>
      <c r="E455" s="1318">
        <v>447749</v>
      </c>
      <c r="F455" s="1318">
        <v>0</v>
      </c>
      <c r="G455" s="1318">
        <v>118292</v>
      </c>
      <c r="H455" s="1318">
        <v>0</v>
      </c>
    </row>
    <row r="456" spans="2:8">
      <c r="D456" s="1317" t="s">
        <v>291</v>
      </c>
      <c r="E456" s="1318">
        <v>610238</v>
      </c>
      <c r="F456" s="1318">
        <v>0</v>
      </c>
      <c r="G456" s="1318">
        <v>2499845</v>
      </c>
      <c r="H456" s="1318">
        <v>0</v>
      </c>
    </row>
    <row r="457" spans="2:8">
      <c r="D457" s="1317" t="s">
        <v>697</v>
      </c>
      <c r="E457" s="1318">
        <v>570000</v>
      </c>
      <c r="F457" s="1318">
        <v>0</v>
      </c>
      <c r="G457" s="1318">
        <v>5508.97</v>
      </c>
      <c r="H457" s="1318">
        <v>0</v>
      </c>
    </row>
    <row r="458" spans="2:8">
      <c r="D458" s="1317" t="s">
        <v>294</v>
      </c>
      <c r="E458" s="1318">
        <v>107000</v>
      </c>
      <c r="F458" s="1318">
        <v>0</v>
      </c>
      <c r="G458" s="1318">
        <v>2400</v>
      </c>
      <c r="H458" s="1318">
        <v>0</v>
      </c>
    </row>
    <row r="459" spans="2:8">
      <c r="D459" s="1317" t="s">
        <v>499</v>
      </c>
      <c r="E459" s="1318">
        <v>741466</v>
      </c>
      <c r="F459" s="1318">
        <v>0</v>
      </c>
      <c r="G459" s="1318">
        <v>4142911</v>
      </c>
      <c r="H459" s="1318">
        <v>0</v>
      </c>
    </row>
    <row r="460" spans="2:8">
      <c r="D460" s="1317" t="s">
        <v>740</v>
      </c>
      <c r="E460" s="1318">
        <v>676306.5</v>
      </c>
      <c r="F460" s="1318">
        <v>0</v>
      </c>
      <c r="G460" s="1318">
        <v>767149</v>
      </c>
      <c r="H460" s="1318">
        <v>0</v>
      </c>
    </row>
    <row r="461" spans="2:8">
      <c r="D461" s="1317" t="s">
        <v>392</v>
      </c>
      <c r="E461" s="1318">
        <v>900</v>
      </c>
      <c r="F461" s="1318">
        <v>0</v>
      </c>
      <c r="G461" s="1318">
        <v>0</v>
      </c>
      <c r="H461" s="1318">
        <v>0</v>
      </c>
    </row>
    <row r="462" spans="2:8">
      <c r="D462" s="1317" t="s">
        <v>411</v>
      </c>
      <c r="E462" s="1318">
        <v>237660256.5</v>
      </c>
      <c r="F462" s="1318">
        <v>0</v>
      </c>
      <c r="G462" s="1318">
        <v>274123635.5</v>
      </c>
      <c r="H462" s="1318">
        <v>0</v>
      </c>
    </row>
    <row r="463" spans="2:8">
      <c r="C463" s="1317" t="s">
        <v>1200</v>
      </c>
      <c r="E463" s="1318">
        <v>451158300.49000001</v>
      </c>
      <c r="F463" s="1318">
        <v>0</v>
      </c>
      <c r="G463" s="1318">
        <v>491501564.92999995</v>
      </c>
      <c r="H463" s="1318">
        <v>0</v>
      </c>
    </row>
    <row r="464" spans="2:8">
      <c r="B464" s="1317" t="s">
        <v>1129</v>
      </c>
      <c r="E464" s="1318">
        <v>451158300.49000001</v>
      </c>
      <c r="F464" s="1318">
        <v>0</v>
      </c>
      <c r="G464" s="1318">
        <v>491501564.92999995</v>
      </c>
      <c r="H464" s="1318">
        <v>0</v>
      </c>
    </row>
    <row r="465" spans="1:8">
      <c r="A465" s="1317" t="s">
        <v>1154</v>
      </c>
      <c r="E465" s="1318">
        <v>451158300.49000001</v>
      </c>
      <c r="F465" s="1318">
        <v>0</v>
      </c>
      <c r="G465" s="1318">
        <v>491501564.92999995</v>
      </c>
      <c r="H465" s="1318">
        <v>0</v>
      </c>
    </row>
    <row r="466" spans="1:8">
      <c r="A466" s="1317">
        <v>24</v>
      </c>
      <c r="B466" s="1317" t="s">
        <v>579</v>
      </c>
      <c r="C466" s="1317" t="s">
        <v>638</v>
      </c>
      <c r="D466" s="1317" t="s">
        <v>115</v>
      </c>
      <c r="E466" s="1318">
        <v>236394</v>
      </c>
      <c r="F466" s="1318">
        <v>0</v>
      </c>
      <c r="G466" s="1318">
        <v>267216</v>
      </c>
      <c r="H466" s="1318">
        <v>0</v>
      </c>
    </row>
    <row r="467" spans="1:8">
      <c r="D467" s="1317" t="s">
        <v>647</v>
      </c>
      <c r="E467" s="1318">
        <v>850764</v>
      </c>
      <c r="F467" s="1318">
        <v>0</v>
      </c>
      <c r="G467" s="1318">
        <v>1118356</v>
      </c>
      <c r="H467" s="1318">
        <v>0</v>
      </c>
    </row>
    <row r="468" spans="1:8">
      <c r="D468" s="1317" t="s">
        <v>687</v>
      </c>
      <c r="E468" s="1318">
        <v>1171704</v>
      </c>
      <c r="F468" s="1318">
        <v>0</v>
      </c>
      <c r="G468" s="1318">
        <v>1175170</v>
      </c>
      <c r="H468" s="1318">
        <v>0</v>
      </c>
    </row>
    <row r="469" spans="1:8">
      <c r="C469" s="1317" t="s">
        <v>1201</v>
      </c>
      <c r="E469" s="1318">
        <v>2258862</v>
      </c>
      <c r="F469" s="1318">
        <v>0</v>
      </c>
      <c r="G469" s="1318">
        <v>2560742</v>
      </c>
      <c r="H469" s="1318">
        <v>0</v>
      </c>
    </row>
    <row r="470" spans="1:8">
      <c r="C470" s="1317" t="s">
        <v>580</v>
      </c>
      <c r="D470" s="1317" t="s">
        <v>106</v>
      </c>
      <c r="E470" s="1318">
        <v>15000</v>
      </c>
      <c r="F470" s="1318">
        <v>0</v>
      </c>
      <c r="G470" s="1318">
        <v>0</v>
      </c>
      <c r="H470" s="1318">
        <v>0</v>
      </c>
    </row>
    <row r="471" spans="1:8">
      <c r="D471" s="1317" t="s">
        <v>454</v>
      </c>
      <c r="E471" s="1318">
        <v>0</v>
      </c>
      <c r="F471" s="1318">
        <v>0</v>
      </c>
      <c r="G471" s="1318">
        <v>300000</v>
      </c>
      <c r="H471" s="1318">
        <v>0</v>
      </c>
    </row>
    <row r="472" spans="1:8">
      <c r="D472" s="1317" t="s">
        <v>152</v>
      </c>
      <c r="E472" s="1318">
        <v>1259230</v>
      </c>
      <c r="F472" s="1318">
        <v>0</v>
      </c>
      <c r="G472" s="1318">
        <v>1265155</v>
      </c>
      <c r="H472" s="1318">
        <v>0</v>
      </c>
    </row>
    <row r="473" spans="1:8">
      <c r="D473" s="1317" t="s">
        <v>203</v>
      </c>
      <c r="E473" s="1318">
        <v>195649</v>
      </c>
      <c r="F473" s="1318">
        <v>0</v>
      </c>
      <c r="G473" s="1318">
        <v>247570</v>
      </c>
      <c r="H473" s="1318">
        <v>0</v>
      </c>
    </row>
    <row r="474" spans="1:8">
      <c r="D474" s="1317" t="s">
        <v>703</v>
      </c>
      <c r="E474" s="1318">
        <v>4800000</v>
      </c>
      <c r="F474" s="1318">
        <v>0</v>
      </c>
      <c r="G474" s="1318">
        <v>4573846</v>
      </c>
      <c r="H474" s="1318">
        <v>0</v>
      </c>
    </row>
    <row r="475" spans="1:8">
      <c r="D475" s="1317" t="s">
        <v>321</v>
      </c>
      <c r="E475" s="1318">
        <v>203540</v>
      </c>
      <c r="F475" s="1318">
        <v>0</v>
      </c>
      <c r="G475" s="1318">
        <v>0</v>
      </c>
      <c r="H475" s="1318">
        <v>0</v>
      </c>
    </row>
    <row r="476" spans="1:8">
      <c r="D476" s="1317" t="s">
        <v>713</v>
      </c>
      <c r="E476" s="1318">
        <v>1626242</v>
      </c>
      <c r="F476" s="1318">
        <v>0</v>
      </c>
      <c r="G476" s="1318">
        <v>2090961</v>
      </c>
      <c r="H476" s="1318">
        <v>0</v>
      </c>
    </row>
    <row r="477" spans="1:8">
      <c r="D477" s="1317" t="s">
        <v>714</v>
      </c>
      <c r="E477" s="1318">
        <v>2273038</v>
      </c>
      <c r="F477" s="1318">
        <v>0</v>
      </c>
      <c r="G477" s="1318">
        <v>2405654</v>
      </c>
      <c r="H477" s="1318">
        <v>0</v>
      </c>
    </row>
    <row r="478" spans="1:8">
      <c r="D478" s="1317" t="s">
        <v>715</v>
      </c>
      <c r="E478" s="1318">
        <v>8511335</v>
      </c>
      <c r="F478" s="1318">
        <v>0</v>
      </c>
      <c r="G478" s="1318">
        <v>8079596</v>
      </c>
      <c r="H478" s="1318">
        <v>0</v>
      </c>
    </row>
    <row r="479" spans="1:8">
      <c r="D479" s="1317" t="s">
        <v>349</v>
      </c>
      <c r="E479" s="1318">
        <v>140595</v>
      </c>
      <c r="F479" s="1318">
        <v>0</v>
      </c>
      <c r="G479" s="1318">
        <v>0</v>
      </c>
      <c r="H479" s="1318">
        <v>13878</v>
      </c>
    </row>
    <row r="480" spans="1:8">
      <c r="C480" s="1317" t="s">
        <v>1202</v>
      </c>
      <c r="E480" s="1318">
        <v>19024629</v>
      </c>
      <c r="F480" s="1318">
        <v>0</v>
      </c>
      <c r="G480" s="1318">
        <v>18962782</v>
      </c>
      <c r="H480" s="1318">
        <v>13878</v>
      </c>
    </row>
    <row r="481" spans="1:8">
      <c r="C481" s="1317" t="s">
        <v>675</v>
      </c>
      <c r="D481" s="1317" t="s">
        <v>674</v>
      </c>
      <c r="E481" s="1318">
        <v>239427</v>
      </c>
      <c r="F481" s="1318">
        <v>0</v>
      </c>
      <c r="G481" s="1318">
        <v>422254</v>
      </c>
      <c r="H481" s="1318">
        <v>0</v>
      </c>
    </row>
    <row r="482" spans="1:8">
      <c r="D482" s="1317" t="s">
        <v>675</v>
      </c>
      <c r="E482" s="1318">
        <v>0</v>
      </c>
      <c r="F482" s="1318">
        <v>0</v>
      </c>
      <c r="G482" s="1318">
        <v>26048</v>
      </c>
      <c r="H482" s="1318">
        <v>0</v>
      </c>
    </row>
    <row r="483" spans="1:8">
      <c r="C483" s="1317" t="s">
        <v>1203</v>
      </c>
      <c r="E483" s="1318">
        <v>239427</v>
      </c>
      <c r="F483" s="1318">
        <v>0</v>
      </c>
      <c r="G483" s="1318">
        <v>448302</v>
      </c>
      <c r="H483" s="1318">
        <v>0</v>
      </c>
    </row>
    <row r="484" spans="1:8">
      <c r="B484" s="1317" t="s">
        <v>1121</v>
      </c>
      <c r="E484" s="1318">
        <v>21522918</v>
      </c>
      <c r="F484" s="1318">
        <v>0</v>
      </c>
      <c r="G484" s="1318">
        <v>21971826</v>
      </c>
      <c r="H484" s="1318">
        <v>13878</v>
      </c>
    </row>
    <row r="485" spans="1:8">
      <c r="A485" s="1317" t="s">
        <v>1155</v>
      </c>
      <c r="E485" s="1318">
        <v>21522918</v>
      </c>
      <c r="F485" s="1318">
        <v>0</v>
      </c>
      <c r="G485" s="1318">
        <v>21971826</v>
      </c>
      <c r="H485" s="1318">
        <v>13878</v>
      </c>
    </row>
    <row r="486" spans="1:8">
      <c r="A486" s="1317">
        <v>25</v>
      </c>
      <c r="B486" s="1317" t="s">
        <v>589</v>
      </c>
      <c r="C486" s="1317" t="s">
        <v>660</v>
      </c>
      <c r="D486" s="1317" t="s">
        <v>160</v>
      </c>
      <c r="E486" s="1318">
        <v>3023</v>
      </c>
      <c r="F486" s="1318">
        <v>0</v>
      </c>
      <c r="G486" s="1318">
        <v>16003</v>
      </c>
      <c r="H486" s="1318">
        <v>0</v>
      </c>
    </row>
    <row r="487" spans="1:8">
      <c r="D487" s="1317" t="s">
        <v>161</v>
      </c>
      <c r="E487" s="1318">
        <v>29695</v>
      </c>
      <c r="F487" s="1318">
        <v>0</v>
      </c>
      <c r="G487" s="1318">
        <v>53707</v>
      </c>
      <c r="H487" s="1318">
        <v>0</v>
      </c>
    </row>
    <row r="488" spans="1:8">
      <c r="D488" s="1317" t="s">
        <v>162</v>
      </c>
      <c r="E488" s="1318">
        <v>38511</v>
      </c>
      <c r="F488" s="1318">
        <v>0</v>
      </c>
      <c r="G488" s="1318">
        <v>58427</v>
      </c>
      <c r="H488" s="1318">
        <v>0</v>
      </c>
    </row>
    <row r="489" spans="1:8">
      <c r="D489" s="1317" t="s">
        <v>164</v>
      </c>
      <c r="E489" s="1318">
        <v>672181</v>
      </c>
      <c r="F489" s="1318">
        <v>0</v>
      </c>
      <c r="G489" s="1318">
        <v>1002896</v>
      </c>
      <c r="H489" s="1318">
        <v>0</v>
      </c>
    </row>
    <row r="490" spans="1:8">
      <c r="D490" s="1317" t="s">
        <v>165</v>
      </c>
      <c r="E490" s="1318">
        <v>867002</v>
      </c>
      <c r="F490" s="1318">
        <v>0</v>
      </c>
      <c r="G490" s="1318">
        <v>1332922</v>
      </c>
      <c r="H490" s="1318">
        <v>0</v>
      </c>
    </row>
    <row r="491" spans="1:8">
      <c r="D491" s="1317" t="s">
        <v>663</v>
      </c>
      <c r="E491" s="1318">
        <v>4933411.9400000004</v>
      </c>
      <c r="F491" s="1318">
        <v>0</v>
      </c>
      <c r="G491" s="1318">
        <v>5694330</v>
      </c>
      <c r="H491" s="1318">
        <v>0</v>
      </c>
    </row>
    <row r="492" spans="1:8">
      <c r="D492" s="1317" t="s">
        <v>178</v>
      </c>
      <c r="E492" s="1318">
        <v>166917</v>
      </c>
      <c r="F492" s="1318">
        <v>0</v>
      </c>
      <c r="G492" s="1318">
        <v>523984</v>
      </c>
      <c r="H492" s="1318">
        <v>0</v>
      </c>
    </row>
    <row r="493" spans="1:8">
      <c r="D493" s="1317" t="s">
        <v>179</v>
      </c>
      <c r="E493" s="1318">
        <v>441375</v>
      </c>
      <c r="F493" s="1318">
        <v>0</v>
      </c>
      <c r="G493" s="1318">
        <v>1401926</v>
      </c>
      <c r="H493" s="1318">
        <v>0</v>
      </c>
    </row>
    <row r="494" spans="1:8">
      <c r="D494" s="1317" t="s">
        <v>664</v>
      </c>
      <c r="E494" s="1318">
        <v>1878337</v>
      </c>
      <c r="F494" s="1318">
        <v>0</v>
      </c>
      <c r="G494" s="1318">
        <v>3826381</v>
      </c>
      <c r="H494" s="1318">
        <v>0</v>
      </c>
    </row>
    <row r="495" spans="1:8">
      <c r="D495" s="1317" t="s">
        <v>669</v>
      </c>
      <c r="E495" s="1318">
        <v>0</v>
      </c>
      <c r="F495" s="1318">
        <v>0</v>
      </c>
      <c r="G495" s="1318">
        <v>6243</v>
      </c>
      <c r="H495" s="1318">
        <v>0</v>
      </c>
    </row>
    <row r="496" spans="1:8">
      <c r="C496" s="1317" t="s">
        <v>1204</v>
      </c>
      <c r="E496" s="1318">
        <v>9030452.9400000013</v>
      </c>
      <c r="F496" s="1318">
        <v>0</v>
      </c>
      <c r="G496" s="1318">
        <v>13916819</v>
      </c>
      <c r="H496" s="1318">
        <v>0</v>
      </c>
    </row>
    <row r="497" spans="1:8">
      <c r="C497" s="1317" t="s">
        <v>590</v>
      </c>
      <c r="D497" s="1317" t="s">
        <v>47</v>
      </c>
      <c r="E497" s="1318">
        <v>185908</v>
      </c>
      <c r="F497" s="1318">
        <v>0</v>
      </c>
      <c r="G497" s="1318">
        <v>146401</v>
      </c>
      <c r="H497" s="1318">
        <v>0</v>
      </c>
    </row>
    <row r="498" spans="1:8">
      <c r="D498" s="1317" t="s">
        <v>48</v>
      </c>
      <c r="E498" s="1318">
        <v>140000</v>
      </c>
      <c r="F498" s="1318">
        <v>0</v>
      </c>
      <c r="G498" s="1318">
        <v>293473.74</v>
      </c>
      <c r="H498" s="1318">
        <v>0</v>
      </c>
    </row>
    <row r="499" spans="1:8">
      <c r="D499" s="1317" t="s">
        <v>522</v>
      </c>
      <c r="E499" s="1318">
        <v>0</v>
      </c>
      <c r="F499" s="1318">
        <v>0</v>
      </c>
      <c r="G499" s="1318">
        <v>20000</v>
      </c>
      <c r="H499" s="1318">
        <v>0</v>
      </c>
    </row>
    <row r="500" spans="1:8">
      <c r="C500" s="1317" t="s">
        <v>1205</v>
      </c>
      <c r="E500" s="1318">
        <v>325908</v>
      </c>
      <c r="F500" s="1318">
        <v>0</v>
      </c>
      <c r="G500" s="1318">
        <v>459874.74</v>
      </c>
      <c r="H500" s="1318">
        <v>0</v>
      </c>
    </row>
    <row r="501" spans="1:8">
      <c r="B501" s="1317" t="s">
        <v>1122</v>
      </c>
      <c r="E501" s="1318">
        <v>9356360.9400000013</v>
      </c>
      <c r="F501" s="1318">
        <v>0</v>
      </c>
      <c r="G501" s="1318">
        <v>14376693.74</v>
      </c>
      <c r="H501" s="1318">
        <v>0</v>
      </c>
    </row>
    <row r="502" spans="1:8">
      <c r="A502" s="1317" t="s">
        <v>1156</v>
      </c>
      <c r="E502" s="1318">
        <v>9356360.9400000013</v>
      </c>
      <c r="F502" s="1318">
        <v>0</v>
      </c>
      <c r="G502" s="1318">
        <v>14376693.74</v>
      </c>
      <c r="H502" s="1318">
        <v>0</v>
      </c>
    </row>
    <row r="503" spans="1:8">
      <c r="A503" s="1317">
        <v>26</v>
      </c>
      <c r="B503" s="1317" t="s">
        <v>568</v>
      </c>
      <c r="C503" s="1317" t="s">
        <v>42</v>
      </c>
      <c r="D503" s="1317" t="s">
        <v>42</v>
      </c>
      <c r="E503" s="1318">
        <v>2927</v>
      </c>
      <c r="F503" s="1318">
        <v>0</v>
      </c>
      <c r="G503" s="1318">
        <v>3011374.94</v>
      </c>
      <c r="H503" s="1318">
        <v>0</v>
      </c>
    </row>
    <row r="504" spans="1:8">
      <c r="C504" s="1317" t="s">
        <v>1206</v>
      </c>
      <c r="E504" s="1318">
        <v>2927</v>
      </c>
      <c r="F504" s="1318">
        <v>0</v>
      </c>
      <c r="G504" s="1318">
        <v>3011374.94</v>
      </c>
      <c r="H504" s="1318">
        <v>0</v>
      </c>
    </row>
    <row r="505" spans="1:8">
      <c r="C505" s="1317" t="s">
        <v>635</v>
      </c>
      <c r="D505" s="1317" t="s">
        <v>109</v>
      </c>
      <c r="E505" s="1318">
        <v>13002</v>
      </c>
      <c r="F505" s="1318">
        <v>0</v>
      </c>
      <c r="G505" s="1318">
        <v>0</v>
      </c>
      <c r="H505" s="1318">
        <v>0</v>
      </c>
    </row>
    <row r="506" spans="1:8">
      <c r="C506" s="1317" t="s">
        <v>1207</v>
      </c>
      <c r="E506" s="1318">
        <v>13002</v>
      </c>
      <c r="F506" s="1318">
        <v>0</v>
      </c>
      <c r="G506" s="1318">
        <v>0</v>
      </c>
      <c r="H506" s="1318">
        <v>0</v>
      </c>
    </row>
    <row r="507" spans="1:8">
      <c r="C507" s="1317" t="s">
        <v>587</v>
      </c>
      <c r="D507" s="1317" t="s">
        <v>39</v>
      </c>
      <c r="E507" s="1318">
        <v>3827</v>
      </c>
      <c r="F507" s="1318">
        <v>0</v>
      </c>
      <c r="G507" s="1318">
        <v>14365</v>
      </c>
      <c r="H507" s="1318">
        <v>0</v>
      </c>
    </row>
    <row r="508" spans="1:8">
      <c r="D508" s="1317" t="s">
        <v>40</v>
      </c>
      <c r="E508" s="1318">
        <v>7719</v>
      </c>
      <c r="F508" s="1318">
        <v>0</v>
      </c>
      <c r="G508" s="1318">
        <v>0</v>
      </c>
      <c r="H508" s="1318">
        <v>0</v>
      </c>
    </row>
    <row r="509" spans="1:8">
      <c r="D509" s="1317" t="s">
        <v>433</v>
      </c>
      <c r="E509" s="1318">
        <v>0</v>
      </c>
      <c r="F509" s="1318">
        <v>0</v>
      </c>
      <c r="G509" s="1318">
        <v>1450</v>
      </c>
      <c r="H509" s="1318">
        <v>0</v>
      </c>
    </row>
    <row r="510" spans="1:8">
      <c r="D510" s="1317" t="s">
        <v>181</v>
      </c>
      <c r="E510" s="1318">
        <v>196000</v>
      </c>
      <c r="F510" s="1318">
        <v>0</v>
      </c>
      <c r="G510" s="1318">
        <v>360000</v>
      </c>
      <c r="H510" s="1318">
        <v>0</v>
      </c>
    </row>
    <row r="511" spans="1:8">
      <c r="D511" s="1317" t="s">
        <v>363</v>
      </c>
      <c r="E511" s="1318">
        <v>275000</v>
      </c>
      <c r="F511" s="1318">
        <v>0</v>
      </c>
      <c r="G511" s="1318">
        <v>250000</v>
      </c>
      <c r="H511" s="1318">
        <v>0</v>
      </c>
    </row>
    <row r="512" spans="1:8">
      <c r="C512" s="1317" t="s">
        <v>1208</v>
      </c>
      <c r="E512" s="1318">
        <v>482546</v>
      </c>
      <c r="F512" s="1318">
        <v>0</v>
      </c>
      <c r="G512" s="1318">
        <v>625815</v>
      </c>
      <c r="H512" s="1318">
        <v>0</v>
      </c>
    </row>
    <row r="513" spans="3:8">
      <c r="C513" s="1317" t="s">
        <v>588</v>
      </c>
      <c r="D513" s="1317" t="s">
        <v>45</v>
      </c>
      <c r="E513" s="1318">
        <v>475623.63</v>
      </c>
      <c r="F513" s="1318">
        <v>0</v>
      </c>
      <c r="G513" s="1318">
        <v>495794.41</v>
      </c>
      <c r="H513" s="1318">
        <v>0</v>
      </c>
    </row>
    <row r="514" spans="3:8">
      <c r="D514" s="1317" t="s">
        <v>46</v>
      </c>
      <c r="E514" s="1318">
        <v>132600</v>
      </c>
      <c r="F514" s="1318">
        <v>0</v>
      </c>
      <c r="G514" s="1318">
        <v>50000</v>
      </c>
      <c r="H514" s="1318">
        <v>0</v>
      </c>
    </row>
    <row r="515" spans="3:8">
      <c r="C515" s="1317" t="s">
        <v>1209</v>
      </c>
      <c r="E515" s="1318">
        <v>608223.63</v>
      </c>
      <c r="F515" s="1318">
        <v>0</v>
      </c>
      <c r="G515" s="1318">
        <v>545794.40999999992</v>
      </c>
      <c r="H515" s="1318">
        <v>0</v>
      </c>
    </row>
    <row r="516" spans="3:8">
      <c r="C516" s="1317" t="s">
        <v>578</v>
      </c>
      <c r="D516" s="1317" t="s">
        <v>35</v>
      </c>
      <c r="E516" s="1318">
        <v>9000</v>
      </c>
      <c r="F516" s="1318">
        <v>0</v>
      </c>
      <c r="G516" s="1318">
        <v>9000</v>
      </c>
      <c r="H516" s="1318">
        <v>0</v>
      </c>
    </row>
    <row r="517" spans="3:8">
      <c r="D517" s="1317" t="s">
        <v>614</v>
      </c>
      <c r="E517" s="1318">
        <v>60454</v>
      </c>
      <c r="F517" s="1318">
        <v>0</v>
      </c>
      <c r="G517" s="1318">
        <v>78396.600000000006</v>
      </c>
      <c r="H517" s="1318">
        <v>0</v>
      </c>
    </row>
    <row r="518" spans="3:8">
      <c r="D518" s="1317" t="s">
        <v>140</v>
      </c>
      <c r="E518" s="1318">
        <v>25123</v>
      </c>
      <c r="F518" s="1318">
        <v>0</v>
      </c>
      <c r="G518" s="1318">
        <v>0</v>
      </c>
      <c r="H518" s="1318">
        <v>0</v>
      </c>
    </row>
    <row r="519" spans="3:8">
      <c r="D519" s="1317" t="s">
        <v>142</v>
      </c>
      <c r="E519" s="1318">
        <v>36000</v>
      </c>
      <c r="F519" s="1318">
        <v>0</v>
      </c>
      <c r="G519" s="1318">
        <v>0</v>
      </c>
      <c r="H519" s="1318">
        <v>0</v>
      </c>
    </row>
    <row r="520" spans="3:8">
      <c r="D520" s="1317" t="s">
        <v>476</v>
      </c>
      <c r="E520" s="1318">
        <v>0</v>
      </c>
      <c r="F520" s="1318">
        <v>0</v>
      </c>
      <c r="G520" s="1318">
        <v>156749</v>
      </c>
      <c r="H520" s="1318">
        <v>0</v>
      </c>
    </row>
    <row r="521" spans="3:8">
      <c r="D521" s="1317" t="s">
        <v>252</v>
      </c>
      <c r="E521" s="1318">
        <v>20000</v>
      </c>
      <c r="F521" s="1318">
        <v>0</v>
      </c>
      <c r="G521" s="1318">
        <v>0</v>
      </c>
      <c r="H521" s="1318">
        <v>0</v>
      </c>
    </row>
    <row r="522" spans="3:8">
      <c r="D522" s="1317" t="s">
        <v>684</v>
      </c>
      <c r="E522" s="1318">
        <v>161998</v>
      </c>
      <c r="F522" s="1318">
        <v>0</v>
      </c>
      <c r="G522" s="1318">
        <v>90444</v>
      </c>
      <c r="H522" s="1318">
        <v>0</v>
      </c>
    </row>
    <row r="523" spans="3:8">
      <c r="D523" s="1317" t="s">
        <v>309</v>
      </c>
      <c r="E523" s="1318">
        <v>319093</v>
      </c>
      <c r="F523" s="1318">
        <v>0</v>
      </c>
      <c r="G523" s="1318">
        <v>236391</v>
      </c>
      <c r="H523" s="1318">
        <v>0</v>
      </c>
    </row>
    <row r="524" spans="3:8">
      <c r="D524" s="1317" t="s">
        <v>315</v>
      </c>
      <c r="E524" s="1318">
        <v>0</v>
      </c>
      <c r="F524" s="1318">
        <v>487.23</v>
      </c>
      <c r="G524" s="1318">
        <v>0</v>
      </c>
      <c r="H524" s="1318">
        <v>313.79000000000002</v>
      </c>
    </row>
    <row r="525" spans="3:8">
      <c r="D525" s="1317" t="s">
        <v>348</v>
      </c>
      <c r="E525" s="1318">
        <v>0</v>
      </c>
      <c r="F525" s="1318">
        <v>77175</v>
      </c>
      <c r="G525" s="1318">
        <v>0</v>
      </c>
      <c r="H525" s="1318">
        <v>0</v>
      </c>
    </row>
    <row r="526" spans="3:8">
      <c r="D526" s="1317" t="s">
        <v>355</v>
      </c>
      <c r="E526" s="1318">
        <v>374511.51</v>
      </c>
      <c r="F526" s="1318">
        <v>0</v>
      </c>
      <c r="G526" s="1318">
        <v>0</v>
      </c>
      <c r="H526" s="1318">
        <v>0</v>
      </c>
    </row>
    <row r="527" spans="3:8">
      <c r="D527" s="1317" t="s">
        <v>729</v>
      </c>
      <c r="E527" s="1318">
        <v>199368.3</v>
      </c>
      <c r="F527" s="1318">
        <v>0</v>
      </c>
      <c r="G527" s="1318">
        <v>0</v>
      </c>
      <c r="H527" s="1318">
        <v>63097.05</v>
      </c>
    </row>
    <row r="528" spans="3:8">
      <c r="D528" s="1317" t="s">
        <v>747</v>
      </c>
      <c r="E528" s="1318">
        <v>5716</v>
      </c>
      <c r="F528" s="1318">
        <v>0</v>
      </c>
      <c r="G528" s="1318">
        <v>14690</v>
      </c>
      <c r="H528" s="1318">
        <v>0</v>
      </c>
    </row>
    <row r="529" spans="3:8">
      <c r="C529" s="1317" t="s">
        <v>1210</v>
      </c>
      <c r="E529" s="1318">
        <v>1211263.81</v>
      </c>
      <c r="F529" s="1318">
        <v>77662.23</v>
      </c>
      <c r="G529" s="1318">
        <v>585670.6</v>
      </c>
      <c r="H529" s="1318">
        <v>63410.840000000004</v>
      </c>
    </row>
    <row r="530" spans="3:8">
      <c r="C530" s="1317" t="s">
        <v>654</v>
      </c>
      <c r="D530" s="1317" t="s">
        <v>653</v>
      </c>
      <c r="E530" s="1318">
        <v>944137</v>
      </c>
      <c r="F530" s="1318">
        <v>0</v>
      </c>
      <c r="G530" s="1318">
        <v>1049138</v>
      </c>
      <c r="H530" s="1318">
        <v>0</v>
      </c>
    </row>
    <row r="531" spans="3:8">
      <c r="C531" s="1317" t="s">
        <v>1211</v>
      </c>
      <c r="E531" s="1318">
        <v>944137</v>
      </c>
      <c r="F531" s="1318">
        <v>0</v>
      </c>
      <c r="G531" s="1318">
        <v>1049138</v>
      </c>
      <c r="H531" s="1318">
        <v>0</v>
      </c>
    </row>
    <row r="532" spans="3:8">
      <c r="C532" s="1317" t="s">
        <v>609</v>
      </c>
      <c r="D532" s="1317" t="s">
        <v>77</v>
      </c>
      <c r="E532" s="1318">
        <v>7000</v>
      </c>
      <c r="F532" s="1318">
        <v>0</v>
      </c>
      <c r="G532" s="1318">
        <v>71000</v>
      </c>
      <c r="H532" s="1318">
        <v>0</v>
      </c>
    </row>
    <row r="533" spans="3:8">
      <c r="D533" s="1317" t="s">
        <v>648</v>
      </c>
      <c r="E533" s="1318">
        <v>10000</v>
      </c>
      <c r="F533" s="1318">
        <v>0</v>
      </c>
      <c r="G533" s="1318">
        <v>30000</v>
      </c>
      <c r="H533" s="1318">
        <v>0</v>
      </c>
    </row>
    <row r="534" spans="3:8">
      <c r="D534" s="1317" t="s">
        <v>460</v>
      </c>
      <c r="E534" s="1318">
        <v>0</v>
      </c>
      <c r="F534" s="1318">
        <v>0</v>
      </c>
      <c r="G534" s="1318">
        <v>22500</v>
      </c>
      <c r="H534" s="1318">
        <v>0</v>
      </c>
    </row>
    <row r="535" spans="3:8">
      <c r="D535" s="1317" t="s">
        <v>205</v>
      </c>
      <c r="E535" s="1318">
        <v>133198.18</v>
      </c>
      <c r="F535" s="1318">
        <v>0</v>
      </c>
      <c r="G535" s="1318">
        <v>642892</v>
      </c>
      <c r="H535" s="1318">
        <v>0</v>
      </c>
    </row>
    <row r="536" spans="3:8">
      <c r="D536" s="1317" t="s">
        <v>486</v>
      </c>
      <c r="E536" s="1318">
        <v>0</v>
      </c>
      <c r="F536" s="1318">
        <v>0</v>
      </c>
      <c r="G536" s="1318">
        <v>60000</v>
      </c>
      <c r="H536" s="1318">
        <v>0</v>
      </c>
    </row>
    <row r="537" spans="3:8">
      <c r="D537" s="1317" t="s">
        <v>251</v>
      </c>
      <c r="E537" s="1318">
        <v>210000</v>
      </c>
      <c r="F537" s="1318">
        <v>0</v>
      </c>
      <c r="G537" s="1318">
        <v>210000</v>
      </c>
      <c r="H537" s="1318">
        <v>0</v>
      </c>
    </row>
    <row r="538" spans="3:8">
      <c r="D538" s="1317" t="s">
        <v>269</v>
      </c>
      <c r="E538" s="1318">
        <v>509760.8</v>
      </c>
      <c r="F538" s="1318">
        <v>0</v>
      </c>
      <c r="G538" s="1318">
        <v>1259000</v>
      </c>
      <c r="H538" s="1318">
        <v>0</v>
      </c>
    </row>
    <row r="539" spans="3:8">
      <c r="D539" s="1317" t="s">
        <v>531</v>
      </c>
      <c r="E539" s="1318">
        <v>0</v>
      </c>
      <c r="F539" s="1318">
        <v>0</v>
      </c>
      <c r="G539" s="1318">
        <v>37000</v>
      </c>
      <c r="H539" s="1318">
        <v>0</v>
      </c>
    </row>
    <row r="540" spans="3:8">
      <c r="D540" s="1317" t="s">
        <v>1523</v>
      </c>
      <c r="E540" s="1318">
        <v>45000</v>
      </c>
      <c r="F540" s="1318">
        <v>0</v>
      </c>
      <c r="G540" s="1318">
        <v>0</v>
      </c>
      <c r="H540" s="1318">
        <v>0</v>
      </c>
    </row>
    <row r="541" spans="3:8">
      <c r="D541" s="1317" t="s">
        <v>1524</v>
      </c>
      <c r="E541" s="1318">
        <v>40000</v>
      </c>
      <c r="F541" s="1318">
        <v>0</v>
      </c>
      <c r="G541" s="1318">
        <v>0</v>
      </c>
      <c r="H541" s="1318">
        <v>0</v>
      </c>
    </row>
    <row r="542" spans="3:8">
      <c r="C542" s="1317" t="s">
        <v>1212</v>
      </c>
      <c r="E542" s="1318">
        <v>954958.98</v>
      </c>
      <c r="F542" s="1318">
        <v>0</v>
      </c>
      <c r="G542" s="1318">
        <v>2332392</v>
      </c>
      <c r="H542" s="1318">
        <v>0</v>
      </c>
    </row>
    <row r="543" spans="3:8">
      <c r="C543" s="1317" t="s">
        <v>584</v>
      </c>
      <c r="D543" s="1317" t="s">
        <v>36</v>
      </c>
      <c r="E543" s="1318">
        <v>64000</v>
      </c>
      <c r="F543" s="1318">
        <v>0</v>
      </c>
      <c r="G543" s="1318">
        <v>64000</v>
      </c>
      <c r="H543" s="1318">
        <v>0</v>
      </c>
    </row>
    <row r="544" spans="3:8">
      <c r="C544" s="1317" t="s">
        <v>1213</v>
      </c>
      <c r="E544" s="1318">
        <v>64000</v>
      </c>
      <c r="F544" s="1318">
        <v>0</v>
      </c>
      <c r="G544" s="1318">
        <v>64000</v>
      </c>
      <c r="H544" s="1318">
        <v>0</v>
      </c>
    </row>
    <row r="545" spans="3:8">
      <c r="C545" s="1317" t="s">
        <v>595</v>
      </c>
      <c r="D545" s="1317" t="s">
        <v>594</v>
      </c>
      <c r="E545" s="1318">
        <v>3442</v>
      </c>
      <c r="F545" s="1318">
        <v>0</v>
      </c>
      <c r="G545" s="1318">
        <v>3166</v>
      </c>
      <c r="H545" s="1318">
        <v>0</v>
      </c>
    </row>
    <row r="546" spans="3:8">
      <c r="D546" s="1317" t="s">
        <v>677</v>
      </c>
      <c r="E546" s="1318">
        <v>53120</v>
      </c>
      <c r="F546" s="1318">
        <v>0</v>
      </c>
      <c r="G546" s="1318">
        <v>28800</v>
      </c>
      <c r="H546" s="1318">
        <v>0</v>
      </c>
    </row>
    <row r="547" spans="3:8">
      <c r="D547" s="1317" t="s">
        <v>678</v>
      </c>
      <c r="E547" s="1318">
        <v>119340</v>
      </c>
      <c r="F547" s="1318">
        <v>0</v>
      </c>
      <c r="G547" s="1318">
        <v>133780</v>
      </c>
      <c r="H547" s="1318">
        <v>0</v>
      </c>
    </row>
    <row r="548" spans="3:8">
      <c r="D548" s="1317" t="s">
        <v>679</v>
      </c>
      <c r="E548" s="1318">
        <v>202053</v>
      </c>
      <c r="F548" s="1318">
        <v>0</v>
      </c>
      <c r="G548" s="1318">
        <v>201085</v>
      </c>
      <c r="H548" s="1318">
        <v>0</v>
      </c>
    </row>
    <row r="549" spans="3:8">
      <c r="D549" s="1317" t="s">
        <v>681</v>
      </c>
      <c r="E549" s="1318">
        <v>104473</v>
      </c>
      <c r="F549" s="1318">
        <v>0</v>
      </c>
      <c r="G549" s="1318">
        <v>72462</v>
      </c>
      <c r="H549" s="1318">
        <v>0</v>
      </c>
    </row>
    <row r="550" spans="3:8">
      <c r="C550" s="1317" t="s">
        <v>1214</v>
      </c>
      <c r="E550" s="1318">
        <v>482428</v>
      </c>
      <c r="F550" s="1318">
        <v>0</v>
      </c>
      <c r="G550" s="1318">
        <v>439293</v>
      </c>
      <c r="H550" s="1318">
        <v>0</v>
      </c>
    </row>
    <row r="551" spans="3:8">
      <c r="C551" s="1317" t="s">
        <v>726</v>
      </c>
      <c r="D551" s="1317" t="s">
        <v>725</v>
      </c>
      <c r="E551" s="1318">
        <v>237277.27</v>
      </c>
      <c r="F551" s="1318">
        <v>0</v>
      </c>
      <c r="G551" s="1318">
        <v>202817.87</v>
      </c>
      <c r="H551" s="1318">
        <v>0</v>
      </c>
    </row>
    <row r="552" spans="3:8">
      <c r="C552" s="1317" t="s">
        <v>1215</v>
      </c>
      <c r="E552" s="1318">
        <v>237277.27</v>
      </c>
      <c r="F552" s="1318">
        <v>0</v>
      </c>
      <c r="G552" s="1318">
        <v>202817.87</v>
      </c>
      <c r="H552" s="1318">
        <v>0</v>
      </c>
    </row>
    <row r="553" spans="3:8">
      <c r="C553" s="1317" t="s">
        <v>569</v>
      </c>
      <c r="D553" s="1317" t="s">
        <v>56</v>
      </c>
      <c r="E553" s="1318">
        <v>6500</v>
      </c>
      <c r="F553" s="1318">
        <v>0</v>
      </c>
      <c r="G553" s="1318">
        <v>0</v>
      </c>
      <c r="H553" s="1318">
        <v>0</v>
      </c>
    </row>
    <row r="554" spans="3:8">
      <c r="D554" s="1317" t="s">
        <v>85</v>
      </c>
      <c r="E554" s="1318">
        <v>380250</v>
      </c>
      <c r="F554" s="1318">
        <v>0</v>
      </c>
      <c r="G554" s="1318">
        <v>0</v>
      </c>
      <c r="H554" s="1318">
        <v>0</v>
      </c>
    </row>
    <row r="555" spans="3:8">
      <c r="D555" s="1317" t="s">
        <v>619</v>
      </c>
      <c r="E555" s="1318">
        <v>2500</v>
      </c>
      <c r="F555" s="1318">
        <v>0</v>
      </c>
      <c r="G555" s="1318">
        <v>0</v>
      </c>
      <c r="H555" s="1318">
        <v>0</v>
      </c>
    </row>
    <row r="556" spans="3:8">
      <c r="D556" s="1317" t="s">
        <v>451</v>
      </c>
      <c r="E556" s="1318">
        <v>0</v>
      </c>
      <c r="F556" s="1318">
        <v>0</v>
      </c>
      <c r="G556" s="1318">
        <v>7729</v>
      </c>
      <c r="H556" s="1318">
        <v>0</v>
      </c>
    </row>
    <row r="557" spans="3:8">
      <c r="D557" s="1317" t="s">
        <v>116</v>
      </c>
      <c r="E557" s="1318">
        <v>57414</v>
      </c>
      <c r="F557" s="1318">
        <v>0</v>
      </c>
      <c r="G557" s="1318">
        <v>10000</v>
      </c>
      <c r="H557" s="1318">
        <v>0</v>
      </c>
    </row>
    <row r="558" spans="3:8">
      <c r="D558" s="1317" t="s">
        <v>452</v>
      </c>
      <c r="E558" s="1318">
        <v>0</v>
      </c>
      <c r="F558" s="1318">
        <v>0</v>
      </c>
      <c r="G558" s="1318">
        <v>131188</v>
      </c>
      <c r="H558" s="1318">
        <v>0</v>
      </c>
    </row>
    <row r="559" spans="3:8">
      <c r="D559" s="1317" t="s">
        <v>639</v>
      </c>
      <c r="E559" s="1318">
        <v>50000</v>
      </c>
      <c r="F559" s="1318">
        <v>0</v>
      </c>
      <c r="G559" s="1318">
        <v>50000</v>
      </c>
      <c r="H559" s="1318">
        <v>0</v>
      </c>
    </row>
    <row r="560" spans="3:8">
      <c r="D560" s="1317" t="s">
        <v>467</v>
      </c>
      <c r="E560" s="1318">
        <v>0</v>
      </c>
      <c r="F560" s="1318">
        <v>0</v>
      </c>
      <c r="G560" s="1318">
        <v>25345</v>
      </c>
      <c r="H560" s="1318">
        <v>0</v>
      </c>
    </row>
    <row r="561" spans="4:8">
      <c r="D561" s="1317" t="s">
        <v>166</v>
      </c>
      <c r="E561" s="1318">
        <v>5436</v>
      </c>
      <c r="F561" s="1318">
        <v>0</v>
      </c>
      <c r="G561" s="1318">
        <v>3632</v>
      </c>
      <c r="H561" s="1318">
        <v>0</v>
      </c>
    </row>
    <row r="562" spans="4:8">
      <c r="D562" s="1317" t="s">
        <v>167</v>
      </c>
      <c r="E562" s="1318">
        <v>27865</v>
      </c>
      <c r="F562" s="1318">
        <v>0</v>
      </c>
      <c r="G562" s="1318">
        <v>17476</v>
      </c>
      <c r="H562" s="1318">
        <v>0</v>
      </c>
    </row>
    <row r="563" spans="4:8">
      <c r="D563" s="1317" t="s">
        <v>168</v>
      </c>
      <c r="E563" s="1318">
        <v>2414</v>
      </c>
      <c r="F563" s="1318">
        <v>0</v>
      </c>
      <c r="G563" s="1318">
        <v>38</v>
      </c>
      <c r="H563" s="1318">
        <v>0</v>
      </c>
    </row>
    <row r="564" spans="4:8">
      <c r="D564" s="1317" t="s">
        <v>169</v>
      </c>
      <c r="E564" s="1318">
        <v>285659</v>
      </c>
      <c r="F564" s="1318">
        <v>0</v>
      </c>
      <c r="G564" s="1318">
        <v>263266.87</v>
      </c>
      <c r="H564" s="1318">
        <v>0</v>
      </c>
    </row>
    <row r="565" spans="4:8">
      <c r="D565" s="1317" t="s">
        <v>170</v>
      </c>
      <c r="E565" s="1318">
        <v>200</v>
      </c>
      <c r="F565" s="1318">
        <v>0</v>
      </c>
      <c r="G565" s="1318">
        <v>410</v>
      </c>
      <c r="H565" s="1318">
        <v>0</v>
      </c>
    </row>
    <row r="566" spans="4:8">
      <c r="D566" s="1317" t="s">
        <v>171</v>
      </c>
      <c r="E566" s="1318">
        <v>5485</v>
      </c>
      <c r="F566" s="1318">
        <v>0</v>
      </c>
      <c r="G566" s="1318">
        <v>0</v>
      </c>
      <c r="H566" s="1318">
        <v>0</v>
      </c>
    </row>
    <row r="567" spans="4:8">
      <c r="D567" s="1317" t="s">
        <v>172</v>
      </c>
      <c r="E567" s="1318">
        <v>29250</v>
      </c>
      <c r="F567" s="1318">
        <v>0</v>
      </c>
      <c r="G567" s="1318">
        <v>0</v>
      </c>
      <c r="H567" s="1318">
        <v>0</v>
      </c>
    </row>
    <row r="568" spans="4:8">
      <c r="D568" s="1317" t="s">
        <v>173</v>
      </c>
      <c r="E568" s="1318">
        <v>5436</v>
      </c>
      <c r="F568" s="1318">
        <v>0</v>
      </c>
      <c r="G568" s="1318">
        <v>3632</v>
      </c>
      <c r="H568" s="1318">
        <v>0</v>
      </c>
    </row>
    <row r="569" spans="4:8">
      <c r="D569" s="1317" t="s">
        <v>661</v>
      </c>
      <c r="E569" s="1318">
        <v>2330</v>
      </c>
      <c r="F569" s="1318">
        <v>0</v>
      </c>
      <c r="G569" s="1318">
        <v>22179</v>
      </c>
      <c r="H569" s="1318">
        <v>0</v>
      </c>
    </row>
    <row r="570" spans="4:8">
      <c r="D570" s="1317" t="s">
        <v>175</v>
      </c>
      <c r="E570" s="1318">
        <v>12071</v>
      </c>
      <c r="F570" s="1318">
        <v>0</v>
      </c>
      <c r="G570" s="1318">
        <v>0</v>
      </c>
      <c r="H570" s="1318">
        <v>0</v>
      </c>
    </row>
    <row r="571" spans="4:8">
      <c r="D571" s="1317" t="s">
        <v>199</v>
      </c>
      <c r="E571" s="1318">
        <v>14352</v>
      </c>
      <c r="F571" s="1318">
        <v>0</v>
      </c>
      <c r="G571" s="1318">
        <v>14688</v>
      </c>
      <c r="H571" s="1318">
        <v>0</v>
      </c>
    </row>
    <row r="572" spans="4:8">
      <c r="D572" s="1317" t="s">
        <v>472</v>
      </c>
      <c r="E572" s="1318">
        <v>0</v>
      </c>
      <c r="F572" s="1318">
        <v>0</v>
      </c>
      <c r="G572" s="1318">
        <v>3450</v>
      </c>
      <c r="H572" s="1318">
        <v>0</v>
      </c>
    </row>
    <row r="573" spans="4:8">
      <c r="D573" s="1317" t="s">
        <v>234</v>
      </c>
      <c r="E573" s="1318">
        <v>185312</v>
      </c>
      <c r="F573" s="1318">
        <v>0</v>
      </c>
      <c r="G573" s="1318">
        <v>52250</v>
      </c>
      <c r="H573" s="1318">
        <v>0</v>
      </c>
    </row>
    <row r="574" spans="4:8">
      <c r="D574" s="1317" t="s">
        <v>482</v>
      </c>
      <c r="E574" s="1318">
        <v>0</v>
      </c>
      <c r="F574" s="1318">
        <v>0</v>
      </c>
      <c r="G574" s="1318">
        <v>6132</v>
      </c>
      <c r="H574" s="1318">
        <v>0</v>
      </c>
    </row>
    <row r="575" spans="4:8">
      <c r="D575" s="1317" t="s">
        <v>481</v>
      </c>
      <c r="E575" s="1318">
        <v>0</v>
      </c>
      <c r="F575" s="1318">
        <v>0</v>
      </c>
      <c r="G575" s="1318">
        <v>1294449</v>
      </c>
      <c r="H575" s="1318">
        <v>0</v>
      </c>
    </row>
    <row r="576" spans="4:8">
      <c r="D576" s="1317" t="s">
        <v>487</v>
      </c>
      <c r="E576" s="1318">
        <v>0</v>
      </c>
      <c r="F576" s="1318">
        <v>0</v>
      </c>
      <c r="G576" s="1318">
        <v>75</v>
      </c>
      <c r="H576" s="1318">
        <v>0</v>
      </c>
    </row>
    <row r="577" spans="3:8">
      <c r="D577" s="1317" t="s">
        <v>488</v>
      </c>
      <c r="E577" s="1318">
        <v>0</v>
      </c>
      <c r="F577" s="1318">
        <v>0</v>
      </c>
      <c r="G577" s="1318">
        <v>3000</v>
      </c>
      <c r="H577" s="1318">
        <v>0</v>
      </c>
    </row>
    <row r="578" spans="3:8">
      <c r="D578" s="1317" t="s">
        <v>489</v>
      </c>
      <c r="E578" s="1318">
        <v>0</v>
      </c>
      <c r="F578" s="1318">
        <v>0</v>
      </c>
      <c r="G578" s="1318">
        <v>19678</v>
      </c>
      <c r="H578" s="1318">
        <v>0</v>
      </c>
    </row>
    <row r="579" spans="3:8">
      <c r="D579" s="1317" t="s">
        <v>490</v>
      </c>
      <c r="E579" s="1318">
        <v>0</v>
      </c>
      <c r="F579" s="1318">
        <v>0</v>
      </c>
      <c r="G579" s="1318">
        <v>75</v>
      </c>
      <c r="H579" s="1318">
        <v>0</v>
      </c>
    </row>
    <row r="580" spans="3:8">
      <c r="D580" s="1317" t="s">
        <v>260</v>
      </c>
      <c r="E580" s="1318">
        <v>281000</v>
      </c>
      <c r="F580" s="1318">
        <v>0</v>
      </c>
      <c r="G580" s="1318">
        <v>33000</v>
      </c>
      <c r="H580" s="1318">
        <v>0</v>
      </c>
    </row>
    <row r="581" spans="3:8">
      <c r="D581" s="1317" t="s">
        <v>496</v>
      </c>
      <c r="E581" s="1318">
        <v>0</v>
      </c>
      <c r="F581" s="1318">
        <v>0</v>
      </c>
      <c r="G581" s="1318">
        <v>5000</v>
      </c>
      <c r="H581" s="1318">
        <v>0</v>
      </c>
    </row>
    <row r="582" spans="3:8">
      <c r="D582" s="1317" t="s">
        <v>299</v>
      </c>
      <c r="E582" s="1318">
        <v>154260</v>
      </c>
      <c r="F582" s="1318">
        <v>0</v>
      </c>
      <c r="G582" s="1318">
        <v>154717</v>
      </c>
      <c r="H582" s="1318">
        <v>0</v>
      </c>
    </row>
    <row r="583" spans="3:8">
      <c r="D583" s="1317" t="s">
        <v>313</v>
      </c>
      <c r="E583" s="1318">
        <v>24500</v>
      </c>
      <c r="F583" s="1318">
        <v>0</v>
      </c>
      <c r="G583" s="1318">
        <v>62500</v>
      </c>
      <c r="H583" s="1318">
        <v>0</v>
      </c>
    </row>
    <row r="584" spans="3:8">
      <c r="D584" s="1317" t="s">
        <v>328</v>
      </c>
      <c r="E584" s="1318">
        <v>23653</v>
      </c>
      <c r="F584" s="1318">
        <v>0</v>
      </c>
      <c r="G584" s="1318">
        <v>0</v>
      </c>
      <c r="H584" s="1318">
        <v>0</v>
      </c>
    </row>
    <row r="585" spans="3:8">
      <c r="D585" s="1317" t="s">
        <v>375</v>
      </c>
      <c r="E585" s="1318">
        <v>21</v>
      </c>
      <c r="F585" s="1318">
        <v>0</v>
      </c>
      <c r="G585" s="1318">
        <v>0</v>
      </c>
      <c r="H585" s="1318">
        <v>0</v>
      </c>
    </row>
    <row r="586" spans="3:8">
      <c r="D586" s="1317" t="s">
        <v>398</v>
      </c>
      <c r="E586" s="1318">
        <v>0</v>
      </c>
      <c r="F586" s="1318">
        <v>0</v>
      </c>
      <c r="G586" s="1318">
        <v>0</v>
      </c>
      <c r="H586" s="1318">
        <v>0</v>
      </c>
    </row>
    <row r="587" spans="3:8">
      <c r="D587" s="1317" t="s">
        <v>399</v>
      </c>
      <c r="E587" s="1318">
        <v>0</v>
      </c>
      <c r="F587" s="1318">
        <v>0</v>
      </c>
      <c r="G587" s="1318">
        <v>0</v>
      </c>
      <c r="H587" s="1318">
        <v>0</v>
      </c>
    </row>
    <row r="588" spans="3:8">
      <c r="D588" s="1317" t="s">
        <v>530</v>
      </c>
      <c r="E588" s="1318">
        <v>0</v>
      </c>
      <c r="F588" s="1318">
        <v>0</v>
      </c>
      <c r="G588" s="1318">
        <v>427952</v>
      </c>
      <c r="H588" s="1318">
        <v>0</v>
      </c>
    </row>
    <row r="589" spans="3:8">
      <c r="D589" s="1317" t="s">
        <v>400</v>
      </c>
      <c r="E589" s="1318">
        <v>14674</v>
      </c>
      <c r="F589" s="1318">
        <v>0</v>
      </c>
      <c r="G589" s="1318">
        <v>0</v>
      </c>
      <c r="H589" s="1318">
        <v>0</v>
      </c>
    </row>
    <row r="590" spans="3:8">
      <c r="D590" s="1317" t="s">
        <v>1977</v>
      </c>
      <c r="E590" s="1318">
        <v>24429.360000000001</v>
      </c>
      <c r="F590" s="1318">
        <v>0</v>
      </c>
      <c r="G590" s="1318">
        <v>0</v>
      </c>
      <c r="H590" s="1318">
        <v>0</v>
      </c>
    </row>
    <row r="591" spans="3:8">
      <c r="C591" s="1317" t="s">
        <v>1216</v>
      </c>
      <c r="E591" s="1318">
        <v>1595011.36</v>
      </c>
      <c r="F591" s="1318">
        <v>0</v>
      </c>
      <c r="G591" s="1318">
        <v>2611861.87</v>
      </c>
      <c r="H591" s="1318">
        <v>0</v>
      </c>
    </row>
    <row r="592" spans="3:8">
      <c r="C592" s="1317" t="s">
        <v>650</v>
      </c>
      <c r="D592" s="1317" t="s">
        <v>462</v>
      </c>
      <c r="E592" s="1318">
        <v>0</v>
      </c>
      <c r="F592" s="1318">
        <v>0</v>
      </c>
      <c r="G592" s="1318">
        <v>26000</v>
      </c>
      <c r="H592" s="1318">
        <v>0</v>
      </c>
    </row>
    <row r="593" spans="3:8">
      <c r="D593" s="1317" t="s">
        <v>680</v>
      </c>
      <c r="E593" s="1318">
        <v>312000</v>
      </c>
      <c r="F593" s="1318">
        <v>0</v>
      </c>
      <c r="G593" s="1318">
        <v>311400</v>
      </c>
      <c r="H593" s="1318">
        <v>0</v>
      </c>
    </row>
    <row r="594" spans="3:8">
      <c r="C594" s="1317" t="s">
        <v>1217</v>
      </c>
      <c r="E594" s="1318">
        <v>312000</v>
      </c>
      <c r="F594" s="1318">
        <v>0</v>
      </c>
      <c r="G594" s="1318">
        <v>337400</v>
      </c>
      <c r="H594" s="1318">
        <v>0</v>
      </c>
    </row>
    <row r="595" spans="3:8">
      <c r="C595" s="1317" t="s">
        <v>682</v>
      </c>
      <c r="D595" s="1317" t="s">
        <v>484</v>
      </c>
      <c r="E595" s="1318">
        <v>0</v>
      </c>
      <c r="F595" s="1318">
        <v>0</v>
      </c>
      <c r="G595" s="1318">
        <v>150</v>
      </c>
      <c r="H595" s="1318">
        <v>0</v>
      </c>
    </row>
    <row r="596" spans="3:8">
      <c r="D596" s="1317" t="s">
        <v>485</v>
      </c>
      <c r="E596" s="1318">
        <v>0</v>
      </c>
      <c r="F596" s="1318">
        <v>0</v>
      </c>
      <c r="G596" s="1318">
        <v>1042</v>
      </c>
      <c r="H596" s="1318">
        <v>0</v>
      </c>
    </row>
    <row r="597" spans="3:8">
      <c r="D597" s="1317" t="s">
        <v>310</v>
      </c>
      <c r="E597" s="1318">
        <v>409071.26</v>
      </c>
      <c r="F597" s="1318">
        <v>0</v>
      </c>
      <c r="G597" s="1318">
        <v>591277.98</v>
      </c>
      <c r="H597" s="1318">
        <v>0</v>
      </c>
    </row>
    <row r="598" spans="3:8">
      <c r="C598" s="1317" t="s">
        <v>1218</v>
      </c>
      <c r="E598" s="1318">
        <v>409071.26</v>
      </c>
      <c r="F598" s="1318">
        <v>0</v>
      </c>
      <c r="G598" s="1318">
        <v>592469.98</v>
      </c>
      <c r="H598" s="1318">
        <v>0</v>
      </c>
    </row>
    <row r="599" spans="3:8">
      <c r="C599" s="1317" t="s">
        <v>743</v>
      </c>
      <c r="D599" s="1317" t="s">
        <v>742</v>
      </c>
      <c r="E599" s="1318">
        <v>332580</v>
      </c>
      <c r="F599" s="1318">
        <v>0</v>
      </c>
      <c r="G599" s="1318">
        <v>369756</v>
      </c>
      <c r="H599" s="1318">
        <v>0</v>
      </c>
    </row>
    <row r="600" spans="3:8">
      <c r="D600" s="1317" t="s">
        <v>403</v>
      </c>
      <c r="E600" s="1318">
        <v>254656</v>
      </c>
      <c r="F600" s="1318">
        <v>0</v>
      </c>
      <c r="G600" s="1318">
        <v>226251.5</v>
      </c>
      <c r="H600" s="1318">
        <v>0</v>
      </c>
    </row>
    <row r="601" spans="3:8">
      <c r="C601" s="1317" t="s">
        <v>1219</v>
      </c>
      <c r="E601" s="1318">
        <v>587236</v>
      </c>
      <c r="F601" s="1318">
        <v>0</v>
      </c>
      <c r="G601" s="1318">
        <v>596007.5</v>
      </c>
      <c r="H601" s="1318">
        <v>0</v>
      </c>
    </row>
    <row r="602" spans="3:8">
      <c r="C602" s="1317" t="s">
        <v>736</v>
      </c>
      <c r="D602" s="1317" t="s">
        <v>735</v>
      </c>
      <c r="E602" s="1318">
        <v>57609.08</v>
      </c>
      <c r="F602" s="1318">
        <v>0</v>
      </c>
      <c r="G602" s="1318">
        <v>107805.92</v>
      </c>
      <c r="H602" s="1318">
        <v>0</v>
      </c>
    </row>
    <row r="603" spans="3:8">
      <c r="C603" s="1317" t="s">
        <v>1220</v>
      </c>
      <c r="E603" s="1318">
        <v>57609.08</v>
      </c>
      <c r="F603" s="1318">
        <v>0</v>
      </c>
      <c r="G603" s="1318">
        <v>107805.92</v>
      </c>
      <c r="H603" s="1318">
        <v>0</v>
      </c>
    </row>
    <row r="604" spans="3:8">
      <c r="C604" s="1317" t="s">
        <v>612</v>
      </c>
      <c r="D604" s="1317" t="s">
        <v>611</v>
      </c>
      <c r="E604" s="1318">
        <v>28640</v>
      </c>
      <c r="F604" s="1318">
        <v>0</v>
      </c>
      <c r="G604" s="1318">
        <v>52350</v>
      </c>
      <c r="H604" s="1318">
        <v>0</v>
      </c>
    </row>
    <row r="605" spans="3:8">
      <c r="D605" s="1317" t="s">
        <v>613</v>
      </c>
      <c r="E605" s="1318">
        <v>45845</v>
      </c>
      <c r="F605" s="1318">
        <v>0</v>
      </c>
      <c r="G605" s="1318">
        <v>66840</v>
      </c>
      <c r="H605" s="1318">
        <v>0</v>
      </c>
    </row>
    <row r="606" spans="3:8">
      <c r="D606" s="1317" t="s">
        <v>738</v>
      </c>
      <c r="E606" s="1318">
        <v>1281082.44</v>
      </c>
      <c r="F606" s="1318">
        <v>0</v>
      </c>
      <c r="G606" s="1318">
        <v>622583.19999999995</v>
      </c>
      <c r="H606" s="1318">
        <v>0</v>
      </c>
    </row>
    <row r="607" spans="3:8">
      <c r="C607" s="1317" t="s">
        <v>1221</v>
      </c>
      <c r="E607" s="1318">
        <v>1355567.44</v>
      </c>
      <c r="F607" s="1318">
        <v>0</v>
      </c>
      <c r="G607" s="1318">
        <v>741773.2</v>
      </c>
      <c r="H607" s="1318">
        <v>0</v>
      </c>
    </row>
    <row r="608" spans="3:8">
      <c r="C608" s="1317" t="s">
        <v>640</v>
      </c>
      <c r="D608" s="1317" t="s">
        <v>125</v>
      </c>
      <c r="E608" s="1318">
        <v>2841598</v>
      </c>
      <c r="F608" s="1318">
        <v>0</v>
      </c>
      <c r="G608" s="1318">
        <v>2585804</v>
      </c>
      <c r="H608" s="1318">
        <v>0</v>
      </c>
    </row>
    <row r="609" spans="3:8">
      <c r="C609" s="1317" t="s">
        <v>1222</v>
      </c>
      <c r="E609" s="1318">
        <v>2841598</v>
      </c>
      <c r="F609" s="1318">
        <v>0</v>
      </c>
      <c r="G609" s="1318">
        <v>2585804</v>
      </c>
      <c r="H609" s="1318">
        <v>0</v>
      </c>
    </row>
    <row r="610" spans="3:8">
      <c r="C610" s="1317" t="s">
        <v>702</v>
      </c>
      <c r="D610" s="1317" t="s">
        <v>301</v>
      </c>
      <c r="E610" s="1318">
        <v>4167429</v>
      </c>
      <c r="F610" s="1318">
        <v>0</v>
      </c>
      <c r="G610" s="1318">
        <v>4086715</v>
      </c>
      <c r="H610" s="1318">
        <v>0</v>
      </c>
    </row>
    <row r="611" spans="3:8">
      <c r="C611" s="1317" t="s">
        <v>1223</v>
      </c>
      <c r="E611" s="1318">
        <v>4167429</v>
      </c>
      <c r="F611" s="1318">
        <v>0</v>
      </c>
      <c r="G611" s="1318">
        <v>4086715</v>
      </c>
      <c r="H611" s="1318">
        <v>0</v>
      </c>
    </row>
    <row r="612" spans="3:8">
      <c r="C612" s="1317" t="s">
        <v>591</v>
      </c>
      <c r="D612" s="1317" t="s">
        <v>51</v>
      </c>
      <c r="E612" s="1318">
        <v>3586075</v>
      </c>
      <c r="F612" s="1318">
        <v>0</v>
      </c>
      <c r="G612" s="1318">
        <v>3427004</v>
      </c>
      <c r="H612" s="1318">
        <v>0</v>
      </c>
    </row>
    <row r="613" spans="3:8">
      <c r="D613" s="1317" t="s">
        <v>57</v>
      </c>
      <c r="E613" s="1318">
        <v>95134</v>
      </c>
      <c r="F613" s="1318">
        <v>0</v>
      </c>
      <c r="G613" s="1318">
        <v>205186</v>
      </c>
      <c r="H613" s="1318">
        <v>0</v>
      </c>
    </row>
    <row r="614" spans="3:8">
      <c r="D614" s="1317" t="s">
        <v>58</v>
      </c>
      <c r="E614" s="1318">
        <v>64762</v>
      </c>
      <c r="F614" s="1318">
        <v>0</v>
      </c>
      <c r="G614" s="1318">
        <v>93095</v>
      </c>
      <c r="H614" s="1318">
        <v>0</v>
      </c>
    </row>
    <row r="615" spans="3:8">
      <c r="D615" s="1317" t="s">
        <v>119</v>
      </c>
      <c r="E615" s="1318">
        <v>58090</v>
      </c>
      <c r="F615" s="1318">
        <v>0</v>
      </c>
      <c r="G615" s="1318">
        <v>58460</v>
      </c>
      <c r="H615" s="1318">
        <v>0</v>
      </c>
    </row>
    <row r="616" spans="3:8">
      <c r="D616" s="1317" t="s">
        <v>120</v>
      </c>
      <c r="E616" s="1318">
        <v>242450</v>
      </c>
      <c r="F616" s="1318">
        <v>0</v>
      </c>
      <c r="G616" s="1318">
        <v>304200.96999999997</v>
      </c>
      <c r="H616" s="1318">
        <v>0</v>
      </c>
    </row>
    <row r="617" spans="3:8">
      <c r="D617" s="1317" t="s">
        <v>122</v>
      </c>
      <c r="E617" s="1318">
        <v>289245</v>
      </c>
      <c r="F617" s="1318">
        <v>0</v>
      </c>
      <c r="G617" s="1318">
        <v>284236</v>
      </c>
      <c r="H617" s="1318">
        <v>0</v>
      </c>
    </row>
    <row r="618" spans="3:8">
      <c r="D618" s="1317" t="s">
        <v>124</v>
      </c>
      <c r="E618" s="1318">
        <v>28970.799999999999</v>
      </c>
      <c r="F618" s="1318">
        <v>0</v>
      </c>
      <c r="G618" s="1318">
        <v>42599</v>
      </c>
      <c r="H618" s="1318">
        <v>0</v>
      </c>
    </row>
    <row r="619" spans="3:8">
      <c r="D619" s="1317" t="s">
        <v>386</v>
      </c>
      <c r="E619" s="1318">
        <v>97188</v>
      </c>
      <c r="F619" s="1318">
        <v>0</v>
      </c>
      <c r="G619" s="1318">
        <v>14800</v>
      </c>
      <c r="H619" s="1318">
        <v>0</v>
      </c>
    </row>
    <row r="620" spans="3:8">
      <c r="D620" s="1317" t="s">
        <v>539</v>
      </c>
      <c r="E620" s="1318">
        <v>0</v>
      </c>
      <c r="F620" s="1318">
        <v>0</v>
      </c>
      <c r="G620" s="1318">
        <v>136710</v>
      </c>
      <c r="H620" s="1318">
        <v>0</v>
      </c>
    </row>
    <row r="621" spans="3:8">
      <c r="D621" s="1317" t="s">
        <v>409</v>
      </c>
      <c r="E621" s="1318">
        <v>199906.5</v>
      </c>
      <c r="F621" s="1318">
        <v>0</v>
      </c>
      <c r="G621" s="1318">
        <v>0</v>
      </c>
      <c r="H621" s="1318">
        <v>0</v>
      </c>
    </row>
    <row r="622" spans="3:8">
      <c r="C622" s="1317" t="s">
        <v>1224</v>
      </c>
      <c r="E622" s="1318">
        <v>4661821.3</v>
      </c>
      <c r="F622" s="1318">
        <v>0</v>
      </c>
      <c r="G622" s="1318">
        <v>4566290.97</v>
      </c>
      <c r="H622" s="1318">
        <v>0</v>
      </c>
    </row>
    <row r="623" spans="3:8">
      <c r="C623" s="1317" t="s">
        <v>583</v>
      </c>
      <c r="D623" s="1317" t="s">
        <v>249</v>
      </c>
      <c r="E623" s="1318">
        <v>500</v>
      </c>
      <c r="F623" s="1318">
        <v>0</v>
      </c>
      <c r="G623" s="1318">
        <v>0</v>
      </c>
      <c r="H623" s="1318">
        <v>0</v>
      </c>
    </row>
    <row r="624" spans="3:8">
      <c r="D624" s="1317" t="s">
        <v>248</v>
      </c>
      <c r="E624" s="1318">
        <v>2650</v>
      </c>
      <c r="F624" s="1318">
        <v>0</v>
      </c>
      <c r="G624" s="1318">
        <v>1550</v>
      </c>
      <c r="H624" s="1318">
        <v>0</v>
      </c>
    </row>
    <row r="625" spans="3:8">
      <c r="D625" s="1317" t="s">
        <v>254</v>
      </c>
      <c r="E625" s="1318">
        <v>7311227.8099999996</v>
      </c>
      <c r="F625" s="1318">
        <v>0</v>
      </c>
      <c r="G625" s="1318">
        <v>6832723.8099999996</v>
      </c>
      <c r="H625" s="1318">
        <v>0</v>
      </c>
    </row>
    <row r="626" spans="3:8">
      <c r="D626" s="1317" t="s">
        <v>498</v>
      </c>
      <c r="E626" s="1318">
        <v>0</v>
      </c>
      <c r="F626" s="1318">
        <v>0</v>
      </c>
      <c r="G626" s="1318">
        <v>2736</v>
      </c>
      <c r="H626" s="1318">
        <v>0</v>
      </c>
    </row>
    <row r="627" spans="3:8">
      <c r="D627" s="1317" t="s">
        <v>741</v>
      </c>
      <c r="E627" s="1318">
        <v>350000</v>
      </c>
      <c r="F627" s="1318">
        <v>0</v>
      </c>
      <c r="G627" s="1318">
        <v>375000</v>
      </c>
      <c r="H627" s="1318">
        <v>0</v>
      </c>
    </row>
    <row r="628" spans="3:8">
      <c r="C628" s="1317" t="s">
        <v>1225</v>
      </c>
      <c r="E628" s="1318">
        <v>7664377.8099999996</v>
      </c>
      <c r="F628" s="1318">
        <v>0</v>
      </c>
      <c r="G628" s="1318">
        <v>7212009.8099999996</v>
      </c>
      <c r="H628" s="1318">
        <v>0</v>
      </c>
    </row>
    <row r="629" spans="3:8">
      <c r="C629" s="1317" t="s">
        <v>605</v>
      </c>
      <c r="D629" s="1317" t="s">
        <v>72</v>
      </c>
      <c r="E629" s="1318">
        <v>923225</v>
      </c>
      <c r="F629" s="1318">
        <v>0</v>
      </c>
      <c r="G629" s="1318">
        <v>539575</v>
      </c>
      <c r="H629" s="1318">
        <v>0</v>
      </c>
    </row>
    <row r="630" spans="3:8">
      <c r="D630" s="1317" t="s">
        <v>73</v>
      </c>
      <c r="E630" s="1318">
        <v>44460025.039999999</v>
      </c>
      <c r="F630" s="1318">
        <v>0</v>
      </c>
      <c r="G630" s="1318">
        <v>46577347</v>
      </c>
      <c r="H630" s="1318">
        <v>0</v>
      </c>
    </row>
    <row r="631" spans="3:8">
      <c r="D631" s="1317" t="s">
        <v>121</v>
      </c>
      <c r="E631" s="1318">
        <v>70499746</v>
      </c>
      <c r="F631" s="1318">
        <v>0</v>
      </c>
      <c r="G631" s="1318">
        <v>61945705</v>
      </c>
      <c r="H631" s="1318">
        <v>0</v>
      </c>
    </row>
    <row r="632" spans="3:8">
      <c r="D632" s="1317" t="s">
        <v>247</v>
      </c>
      <c r="E632" s="1318">
        <v>852133</v>
      </c>
      <c r="F632" s="1318">
        <v>0</v>
      </c>
      <c r="G632" s="1318">
        <v>4231828</v>
      </c>
      <c r="H632" s="1318">
        <v>0</v>
      </c>
    </row>
    <row r="633" spans="3:8">
      <c r="D633" s="1317" t="s">
        <v>491</v>
      </c>
      <c r="E633" s="1318">
        <v>0</v>
      </c>
      <c r="F633" s="1318">
        <v>0</v>
      </c>
      <c r="G633" s="1318">
        <v>0</v>
      </c>
      <c r="H633" s="1318">
        <v>205269</v>
      </c>
    </row>
    <row r="634" spans="3:8">
      <c r="D634" s="1317" t="s">
        <v>292</v>
      </c>
      <c r="E634" s="1318">
        <v>9875204.9800000004</v>
      </c>
      <c r="F634" s="1318">
        <v>0</v>
      </c>
      <c r="G634" s="1318">
        <v>7296726</v>
      </c>
      <c r="H634" s="1318">
        <v>0</v>
      </c>
    </row>
    <row r="635" spans="3:8">
      <c r="D635" s="1317" t="s">
        <v>502</v>
      </c>
      <c r="E635" s="1318">
        <v>0</v>
      </c>
      <c r="F635" s="1318">
        <v>0</v>
      </c>
      <c r="G635" s="1318">
        <v>0</v>
      </c>
      <c r="H635" s="1318">
        <v>38712</v>
      </c>
    </row>
    <row r="636" spans="3:8">
      <c r="D636" s="1317" t="s">
        <v>361</v>
      </c>
      <c r="E636" s="1318">
        <v>5558970</v>
      </c>
      <c r="F636" s="1318">
        <v>0</v>
      </c>
      <c r="G636" s="1318">
        <v>5413556</v>
      </c>
      <c r="H636" s="1318">
        <v>0</v>
      </c>
    </row>
    <row r="637" spans="3:8">
      <c r="C637" s="1317" t="s">
        <v>1226</v>
      </c>
      <c r="E637" s="1318">
        <v>132169304.02</v>
      </c>
      <c r="F637" s="1318">
        <v>0</v>
      </c>
      <c r="G637" s="1318">
        <v>126004737</v>
      </c>
      <c r="H637" s="1318">
        <v>243981</v>
      </c>
    </row>
    <row r="638" spans="3:8">
      <c r="C638" s="1317" t="s">
        <v>720</v>
      </c>
      <c r="D638" s="1317" t="s">
        <v>340</v>
      </c>
      <c r="E638" s="1318">
        <v>689707</v>
      </c>
      <c r="F638" s="1318">
        <v>0</v>
      </c>
      <c r="G638" s="1318">
        <v>693091</v>
      </c>
      <c r="H638" s="1318">
        <v>0</v>
      </c>
    </row>
    <row r="639" spans="3:8">
      <c r="C639" s="1317" t="s">
        <v>1227</v>
      </c>
      <c r="E639" s="1318">
        <v>689707</v>
      </c>
      <c r="F639" s="1318">
        <v>0</v>
      </c>
      <c r="G639" s="1318">
        <v>693091</v>
      </c>
      <c r="H639" s="1318">
        <v>0</v>
      </c>
    </row>
    <row r="640" spans="3:8">
      <c r="C640" s="1317" t="s">
        <v>615</v>
      </c>
      <c r="D640" s="1317" t="s">
        <v>698</v>
      </c>
      <c r="E640" s="1318">
        <v>9155866.8599999994</v>
      </c>
      <c r="F640" s="1318">
        <v>0</v>
      </c>
      <c r="G640" s="1318">
        <v>8891025.9000000004</v>
      </c>
      <c r="H640" s="1318">
        <v>0</v>
      </c>
    </row>
    <row r="641" spans="3:8">
      <c r="C641" s="1317" t="s">
        <v>1228</v>
      </c>
      <c r="E641" s="1318">
        <v>9155866.8599999994</v>
      </c>
      <c r="F641" s="1318">
        <v>0</v>
      </c>
      <c r="G641" s="1318">
        <v>8891025.9000000004</v>
      </c>
      <c r="H641" s="1318">
        <v>0</v>
      </c>
    </row>
    <row r="642" spans="3:8">
      <c r="C642" s="1317" t="s">
        <v>745</v>
      </c>
      <c r="D642" s="1317" t="s">
        <v>410</v>
      </c>
      <c r="E642" s="1318">
        <v>6659960</v>
      </c>
      <c r="F642" s="1318">
        <v>0</v>
      </c>
      <c r="G642" s="1318">
        <v>6522638</v>
      </c>
      <c r="H642" s="1318">
        <v>0</v>
      </c>
    </row>
    <row r="643" spans="3:8">
      <c r="C643" s="1317" t="s">
        <v>1229</v>
      </c>
      <c r="E643" s="1318">
        <v>6659960</v>
      </c>
      <c r="F643" s="1318">
        <v>0</v>
      </c>
      <c r="G643" s="1318">
        <v>6522638</v>
      </c>
      <c r="H643" s="1318">
        <v>0</v>
      </c>
    </row>
    <row r="644" spans="3:8">
      <c r="C644" s="1317" t="s">
        <v>705</v>
      </c>
      <c r="D644" s="1317" t="s">
        <v>704</v>
      </c>
      <c r="E644" s="1318">
        <v>954273.6</v>
      </c>
      <c r="F644" s="1318">
        <v>0</v>
      </c>
      <c r="G644" s="1318">
        <v>2155685.31</v>
      </c>
      <c r="H644" s="1318">
        <v>0</v>
      </c>
    </row>
    <row r="645" spans="3:8">
      <c r="C645" s="1317" t="s">
        <v>1230</v>
      </c>
      <c r="E645" s="1318">
        <v>954273.6</v>
      </c>
      <c r="F645" s="1318">
        <v>0</v>
      </c>
      <c r="G645" s="1318">
        <v>2155685.31</v>
      </c>
      <c r="H645" s="1318">
        <v>0</v>
      </c>
    </row>
    <row r="646" spans="3:8">
      <c r="C646" s="1317" t="s">
        <v>599</v>
      </c>
      <c r="D646" s="1317" t="s">
        <v>55</v>
      </c>
      <c r="E646" s="1318">
        <v>373855</v>
      </c>
      <c r="F646" s="1318">
        <v>0</v>
      </c>
      <c r="G646" s="1318">
        <v>581423</v>
      </c>
      <c r="H646" s="1318">
        <v>0</v>
      </c>
    </row>
    <row r="647" spans="3:8">
      <c r="D647" s="1317" t="s">
        <v>606</v>
      </c>
      <c r="E647" s="1318">
        <v>219361</v>
      </c>
      <c r="F647" s="1318">
        <v>0</v>
      </c>
      <c r="G647" s="1318">
        <v>281138</v>
      </c>
      <c r="H647" s="1318">
        <v>0</v>
      </c>
    </row>
    <row r="648" spans="3:8">
      <c r="D648" s="1317" t="s">
        <v>209</v>
      </c>
      <c r="E648" s="1318">
        <v>149343</v>
      </c>
      <c r="F648" s="1318">
        <v>0</v>
      </c>
      <c r="G648" s="1318">
        <v>149546</v>
      </c>
      <c r="H648" s="1318">
        <v>0</v>
      </c>
    </row>
    <row r="649" spans="3:8">
      <c r="D649" s="1317" t="s">
        <v>210</v>
      </c>
      <c r="E649" s="1318">
        <v>969798</v>
      </c>
      <c r="F649" s="1318">
        <v>0</v>
      </c>
      <c r="G649" s="1318">
        <v>994957</v>
      </c>
      <c r="H649" s="1318">
        <v>0</v>
      </c>
    </row>
    <row r="650" spans="3:8">
      <c r="D650" s="1317" t="s">
        <v>670</v>
      </c>
      <c r="E650" s="1318">
        <v>1446914</v>
      </c>
      <c r="F650" s="1318">
        <v>0</v>
      </c>
      <c r="G650" s="1318">
        <v>938573.13</v>
      </c>
      <c r="H650" s="1318">
        <v>0</v>
      </c>
    </row>
    <row r="651" spans="3:8">
      <c r="D651" s="1317" t="s">
        <v>211</v>
      </c>
      <c r="E651" s="1318">
        <v>10783983.359999999</v>
      </c>
      <c r="F651" s="1318">
        <v>0</v>
      </c>
      <c r="G651" s="1318">
        <v>17174810.899999999</v>
      </c>
      <c r="H651" s="1318">
        <v>0</v>
      </c>
    </row>
    <row r="652" spans="3:8">
      <c r="D652" s="1317" t="s">
        <v>483</v>
      </c>
      <c r="E652" s="1318">
        <v>0</v>
      </c>
      <c r="F652" s="1318">
        <v>0</v>
      </c>
      <c r="G652" s="1318">
        <v>11016.55</v>
      </c>
      <c r="H652" s="1318">
        <v>0</v>
      </c>
    </row>
    <row r="653" spans="3:8">
      <c r="C653" s="1317" t="s">
        <v>1231</v>
      </c>
      <c r="E653" s="1318">
        <v>13943254.359999999</v>
      </c>
      <c r="F653" s="1318">
        <v>0</v>
      </c>
      <c r="G653" s="1318">
        <v>20131464.579999998</v>
      </c>
      <c r="H653" s="1318">
        <v>0</v>
      </c>
    </row>
    <row r="654" spans="3:8">
      <c r="C654" s="1317" t="s">
        <v>570</v>
      </c>
      <c r="D654" s="1317" t="s">
        <v>22</v>
      </c>
      <c r="E654" s="1318">
        <v>113158</v>
      </c>
      <c r="F654" s="1318">
        <v>0</v>
      </c>
      <c r="G654" s="1318">
        <v>77814</v>
      </c>
      <c r="H654" s="1318">
        <v>0</v>
      </c>
    </row>
    <row r="655" spans="3:8">
      <c r="D655" s="1317" t="s">
        <v>157</v>
      </c>
      <c r="E655" s="1318">
        <v>25000</v>
      </c>
      <c r="F655" s="1318">
        <v>0</v>
      </c>
      <c r="G655" s="1318">
        <v>0</v>
      </c>
      <c r="H655" s="1318">
        <v>0</v>
      </c>
    </row>
    <row r="656" spans="3:8">
      <c r="C656" s="1317" t="s">
        <v>1232</v>
      </c>
      <c r="E656" s="1318">
        <v>138158</v>
      </c>
      <c r="F656" s="1318">
        <v>0</v>
      </c>
      <c r="G656" s="1318">
        <v>77814</v>
      </c>
      <c r="H656" s="1318">
        <v>0</v>
      </c>
    </row>
    <row r="657" spans="1:8">
      <c r="C657" s="1317" t="s">
        <v>607</v>
      </c>
      <c r="D657" s="1317" t="s">
        <v>75</v>
      </c>
      <c r="E657" s="1318">
        <v>1723504</v>
      </c>
      <c r="F657" s="1318">
        <v>0</v>
      </c>
      <c r="G657" s="1318">
        <v>3396669</v>
      </c>
      <c r="H657" s="1318">
        <v>0</v>
      </c>
    </row>
    <row r="658" spans="1:8">
      <c r="D658" s="1317" t="s">
        <v>608</v>
      </c>
      <c r="E658" s="1318">
        <v>38030</v>
      </c>
      <c r="F658" s="1318">
        <v>0</v>
      </c>
      <c r="G658" s="1318">
        <v>0</v>
      </c>
      <c r="H658" s="1318">
        <v>0</v>
      </c>
    </row>
    <row r="659" spans="1:8">
      <c r="D659" s="1317" t="s">
        <v>117</v>
      </c>
      <c r="E659" s="1318">
        <v>491501</v>
      </c>
      <c r="F659" s="1318">
        <v>0</v>
      </c>
      <c r="G659" s="1318">
        <v>0</v>
      </c>
      <c r="H659" s="1318">
        <v>0</v>
      </c>
    </row>
    <row r="660" spans="1:8">
      <c r="C660" s="1317" t="s">
        <v>1233</v>
      </c>
      <c r="E660" s="1318">
        <v>2253035</v>
      </c>
      <c r="F660" s="1318">
        <v>0</v>
      </c>
      <c r="G660" s="1318">
        <v>3396669</v>
      </c>
      <c r="H660" s="1318">
        <v>0</v>
      </c>
    </row>
    <row r="661" spans="1:8">
      <c r="C661" s="1317" t="s">
        <v>652</v>
      </c>
      <c r="D661" s="1317" t="s">
        <v>651</v>
      </c>
      <c r="E661" s="1318">
        <v>86275</v>
      </c>
      <c r="F661" s="1318">
        <v>0</v>
      </c>
      <c r="G661" s="1318">
        <v>327417</v>
      </c>
      <c r="H661" s="1318">
        <v>0</v>
      </c>
    </row>
    <row r="662" spans="1:8">
      <c r="C662" s="1317" t="s">
        <v>1234</v>
      </c>
      <c r="E662" s="1318">
        <v>86275</v>
      </c>
      <c r="F662" s="1318">
        <v>0</v>
      </c>
      <c r="G662" s="1318">
        <v>327417</v>
      </c>
      <c r="H662" s="1318">
        <v>0</v>
      </c>
    </row>
    <row r="663" spans="1:8">
      <c r="B663" s="1317" t="s">
        <v>1127</v>
      </c>
      <c r="E663" s="1318">
        <v>194702318.77999997</v>
      </c>
      <c r="F663" s="1318">
        <v>77662.23</v>
      </c>
      <c r="G663" s="1318">
        <v>200494975.86000001</v>
      </c>
      <c r="H663" s="1318">
        <v>307391.84000000003</v>
      </c>
    </row>
    <row r="664" spans="1:8">
      <c r="A664" s="1317" t="s">
        <v>1157</v>
      </c>
      <c r="E664" s="1318">
        <v>194702318.77999997</v>
      </c>
      <c r="F664" s="1318">
        <v>77662.23</v>
      </c>
      <c r="G664" s="1318">
        <v>200494975.86000001</v>
      </c>
      <c r="H664" s="1318">
        <v>307391.84000000003</v>
      </c>
    </row>
    <row r="665" spans="1:8">
      <c r="A665" s="1317" t="s">
        <v>1136</v>
      </c>
      <c r="B665" s="1317" t="s">
        <v>560</v>
      </c>
      <c r="C665" s="1317" t="s">
        <v>560</v>
      </c>
      <c r="D665" s="1317" t="s">
        <v>18</v>
      </c>
      <c r="E665" s="1318">
        <v>51184927.25</v>
      </c>
      <c r="F665" s="1318">
        <v>0</v>
      </c>
      <c r="G665" s="1318">
        <v>42797876</v>
      </c>
      <c r="H665" s="1318">
        <v>0</v>
      </c>
    </row>
    <row r="666" spans="1:8">
      <c r="C666" s="1317" t="s">
        <v>1113</v>
      </c>
      <c r="E666" s="1318">
        <v>51184927.25</v>
      </c>
      <c r="F666" s="1318">
        <v>0</v>
      </c>
      <c r="G666" s="1318">
        <v>42797876</v>
      </c>
      <c r="H666" s="1318">
        <v>0</v>
      </c>
    </row>
    <row r="667" spans="1:8">
      <c r="B667" s="1317" t="s">
        <v>1113</v>
      </c>
      <c r="E667" s="1318">
        <v>51184927.25</v>
      </c>
      <c r="F667" s="1318">
        <v>0</v>
      </c>
      <c r="G667" s="1318">
        <v>42797876</v>
      </c>
      <c r="H667" s="1318">
        <v>0</v>
      </c>
    </row>
    <row r="668" spans="1:8">
      <c r="A668" s="1317" t="s">
        <v>1158</v>
      </c>
      <c r="E668" s="1318">
        <v>51184927.25</v>
      </c>
      <c r="F668" s="1318">
        <v>0</v>
      </c>
      <c r="G668" s="1318">
        <v>42797876</v>
      </c>
      <c r="H668" s="1318">
        <v>0</v>
      </c>
    </row>
    <row r="669" spans="1:8">
      <c r="A669" s="1317" t="s">
        <v>418</v>
      </c>
      <c r="E669" s="1318">
        <v>1255099743.1099997</v>
      </c>
      <c r="F669" s="1318">
        <v>1255099743.1099999</v>
      </c>
      <c r="G669" s="1318">
        <v>1294184693.96</v>
      </c>
      <c r="H669" s="1318">
        <v>1294184693.96</v>
      </c>
    </row>
  </sheetData>
  <customSheetViews>
    <customSheetView guid="{F039C147-8083-49A0-B541-A610A15BA793}" scale="71" fitToPage="1" topLeftCell="C637">
      <selection activeCell="E666" sqref="E666"/>
      <pageMargins left="0.70866141732283472" right="0.70866141732283472" top="0.74803149606299213" bottom="0.74803149606299213" header="0.31496062992125984" footer="0.31496062992125984"/>
      <pageSetup scale="14" fitToHeight="2" orientation="portrait" r:id="rId2"/>
    </customSheetView>
    <customSheetView guid="{F140806D-66CA-4A66-855A-CCBDE7D69760}" scale="71" fitToPage="1" topLeftCell="C205">
      <selection activeCell="D225" sqref="D225"/>
      <pageMargins left="0.70866141732283472" right="0.70866141732283472" top="0.74803149606299213" bottom="0.74803149606299213" header="0.31496062992125984" footer="0.31496062992125984"/>
      <pageSetup scale="14" fitToHeight="2" orientation="portrait" r:id="rId3"/>
    </customSheetView>
  </customSheetViews>
  <pageMargins left="0.70866141732283472" right="0.70866141732283472" top="0.74803149606299213" bottom="0.74803149606299213" header="0.31496062992125984" footer="0.31496062992125984"/>
  <pageSetup scale="10" fitToHeight="2" orientation="landscape"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R348"/>
  <sheetViews>
    <sheetView view="pageBreakPreview" topLeftCell="B1" zoomScale="60" zoomScaleNormal="100" workbookViewId="0">
      <selection activeCell="F37" sqref="F37"/>
    </sheetView>
  </sheetViews>
  <sheetFormatPr defaultRowHeight="15"/>
  <cols>
    <col min="1" max="1" width="6.28515625" customWidth="1"/>
    <col min="2" max="2" width="32" bestFit="1" customWidth="1"/>
    <col min="3" max="3" width="17.5703125" customWidth="1"/>
    <col min="4" max="4" width="13.28515625" bestFit="1" customWidth="1"/>
    <col min="5" max="5" width="15.140625" bestFit="1" customWidth="1"/>
    <col min="6" max="6" width="14" customWidth="1"/>
    <col min="7" max="7" width="21.85546875" style="1" bestFit="1" customWidth="1"/>
    <col min="8" max="8" width="22.5703125" style="1" bestFit="1" customWidth="1"/>
    <col min="9" max="9" width="14.7109375" style="1311" hidden="1" customWidth="1"/>
    <col min="10" max="10" width="13" style="1311" hidden="1" customWidth="1"/>
    <col min="11" max="11" width="12.28515625" style="1311" hidden="1" customWidth="1"/>
    <col min="12" max="18" width="0" style="1311" hidden="1" customWidth="1"/>
  </cols>
  <sheetData>
    <row r="3" spans="2:10">
      <c r="B3" s="1527" t="s">
        <v>1527</v>
      </c>
      <c r="C3" s="1527"/>
      <c r="D3" s="1527"/>
      <c r="E3" s="1527"/>
      <c r="F3" s="1527"/>
      <c r="G3" s="1527"/>
    </row>
    <row r="4" spans="2:10">
      <c r="B4" s="469"/>
      <c r="C4" s="469"/>
      <c r="D4" s="469"/>
      <c r="E4" s="469"/>
      <c r="F4" s="469"/>
      <c r="G4" s="485"/>
    </row>
    <row r="5" spans="2:10">
      <c r="B5" s="1527" t="s">
        <v>1548</v>
      </c>
      <c r="C5" s="1527"/>
      <c r="D5" s="1527"/>
      <c r="E5" s="1527"/>
      <c r="F5" s="1527"/>
      <c r="G5" s="1527"/>
    </row>
    <row r="6" spans="2:10">
      <c r="B6" s="470" t="s">
        <v>1528</v>
      </c>
      <c r="C6" s="471"/>
      <c r="D6" s="471"/>
      <c r="E6" s="472" t="s">
        <v>1549</v>
      </c>
      <c r="F6" s="471"/>
      <c r="G6" s="486" t="s">
        <v>1549</v>
      </c>
      <c r="H6" s="1" t="s">
        <v>544</v>
      </c>
    </row>
    <row r="7" spans="2:10">
      <c r="B7" s="561" t="s">
        <v>1529</v>
      </c>
      <c r="C7" s="564"/>
      <c r="D7" s="565"/>
      <c r="E7" s="551"/>
      <c r="F7" s="550" t="s">
        <v>1530</v>
      </c>
      <c r="G7" s="552">
        <v>33764.815000000002</v>
      </c>
      <c r="H7" s="552">
        <v>33380.245000000003</v>
      </c>
    </row>
    <row r="8" spans="2:10">
      <c r="B8" s="562" t="s">
        <v>1531</v>
      </c>
      <c r="C8" s="566"/>
      <c r="D8" s="567"/>
      <c r="E8" s="554" t="s">
        <v>1532</v>
      </c>
      <c r="F8" s="553"/>
      <c r="G8" s="555" t="s">
        <v>1532</v>
      </c>
      <c r="H8" s="555" t="s">
        <v>1532</v>
      </c>
    </row>
    <row r="9" spans="2:10">
      <c r="B9" s="563" t="s">
        <v>1533</v>
      </c>
      <c r="C9" s="473"/>
      <c r="D9" s="568"/>
      <c r="E9" s="557">
        <f>+BSPL!F443</f>
        <v>432876064.31871474</v>
      </c>
      <c r="F9" s="556"/>
      <c r="G9" s="558">
        <f>E9-F9</f>
        <v>432876064.31871474</v>
      </c>
      <c r="H9" s="558">
        <f>+BSPL!G443</f>
        <v>488147530.67999995</v>
      </c>
      <c r="I9" s="1311">
        <v>488147530.67999995</v>
      </c>
      <c r="J9" s="1320">
        <f>+H9-I9</f>
        <v>0</v>
      </c>
    </row>
    <row r="10" spans="2:10">
      <c r="B10" s="474" t="s">
        <v>1534</v>
      </c>
      <c r="C10" s="475"/>
      <c r="D10" s="477"/>
      <c r="E10" s="476">
        <f>+BSPL!F449</f>
        <v>19024629</v>
      </c>
      <c r="F10" s="479"/>
      <c r="G10" s="559">
        <f t="shared" ref="G10:G25" si="0">E10-F10</f>
        <v>19024629</v>
      </c>
      <c r="H10" s="487">
        <f>+BSPL!G449</f>
        <v>18948904</v>
      </c>
      <c r="I10" s="1311">
        <v>18948904</v>
      </c>
      <c r="J10" s="1320">
        <f t="shared" ref="J10:J26" si="1">+H10-I10</f>
        <v>0</v>
      </c>
    </row>
    <row r="11" spans="2:10">
      <c r="B11" s="474" t="s">
        <v>943</v>
      </c>
      <c r="C11" s="475"/>
      <c r="D11" s="477"/>
      <c r="E11" s="476">
        <f>+[46]BSPL!F429</f>
        <v>127820727</v>
      </c>
      <c r="F11" s="479"/>
      <c r="G11" s="559">
        <f t="shared" si="0"/>
        <v>127820727</v>
      </c>
      <c r="H11" s="487">
        <v>127820727</v>
      </c>
      <c r="I11" s="1311">
        <v>127820727</v>
      </c>
      <c r="J11" s="1320">
        <f t="shared" si="1"/>
        <v>0</v>
      </c>
    </row>
    <row r="12" spans="2:10">
      <c r="B12" s="474" t="s">
        <v>1535</v>
      </c>
      <c r="C12" s="475"/>
      <c r="D12" s="477"/>
      <c r="E12" s="476">
        <v>0</v>
      </c>
      <c r="F12" s="479"/>
      <c r="G12" s="559">
        <f t="shared" si="0"/>
        <v>0</v>
      </c>
      <c r="H12" s="487">
        <v>0</v>
      </c>
      <c r="I12" s="1311">
        <v>0</v>
      </c>
      <c r="J12" s="1320">
        <f t="shared" si="1"/>
        <v>0</v>
      </c>
    </row>
    <row r="13" spans="2:10">
      <c r="B13" s="474" t="s">
        <v>1536</v>
      </c>
      <c r="C13" s="475"/>
      <c r="D13" s="477"/>
      <c r="E13" s="476">
        <f>+BSPL!F470</f>
        <v>689707</v>
      </c>
      <c r="F13" s="479"/>
      <c r="G13" s="559">
        <f t="shared" si="0"/>
        <v>689707</v>
      </c>
      <c r="H13" s="487">
        <f>+BSPL!G470</f>
        <v>693091</v>
      </c>
      <c r="I13" s="1311">
        <v>693091</v>
      </c>
      <c r="J13" s="1320">
        <f t="shared" si="1"/>
        <v>0</v>
      </c>
    </row>
    <row r="14" spans="2:10">
      <c r="B14" s="474" t="s">
        <v>1537</v>
      </c>
      <c r="C14" s="475"/>
      <c r="D14" s="477"/>
      <c r="E14" s="476">
        <f>+BSPL!F471</f>
        <v>6068106.8599999994</v>
      </c>
      <c r="F14" s="479"/>
      <c r="G14" s="559">
        <f t="shared" si="0"/>
        <v>6068106.8599999994</v>
      </c>
      <c r="H14" s="487">
        <f>+BSPL!G471</f>
        <v>6365174.9000000004</v>
      </c>
      <c r="I14" s="1311">
        <v>6365174.9000000004</v>
      </c>
      <c r="J14" s="1320">
        <f t="shared" si="1"/>
        <v>0</v>
      </c>
    </row>
    <row r="15" spans="2:10">
      <c r="B15" s="474" t="s">
        <v>1538</v>
      </c>
      <c r="C15" s="475"/>
      <c r="D15" s="477"/>
      <c r="E15" s="476">
        <f>+BSPL!F464</f>
        <v>7784928.8099999996</v>
      </c>
      <c r="F15" s="479"/>
      <c r="G15" s="559">
        <f t="shared" si="0"/>
        <v>7784928.8099999996</v>
      </c>
      <c r="H15" s="487">
        <f>+BSPL!G464</f>
        <v>7101157.8099999996</v>
      </c>
      <c r="I15" s="1311">
        <v>7101157.8099999996</v>
      </c>
      <c r="J15" s="1320">
        <f t="shared" si="1"/>
        <v>0</v>
      </c>
    </row>
    <row r="16" spans="2:10">
      <c r="B16" s="474" t="s">
        <v>1539</v>
      </c>
      <c r="C16" s="475"/>
      <c r="D16" s="477"/>
      <c r="E16" s="476">
        <f>+BSPL!F468</f>
        <v>13943254.359999999</v>
      </c>
      <c r="F16" s="479"/>
      <c r="G16" s="559">
        <f t="shared" si="0"/>
        <v>13943254.359999999</v>
      </c>
      <c r="H16" s="487">
        <f>+BSPL!G468</f>
        <v>20131464.579999998</v>
      </c>
      <c r="I16" s="1311">
        <v>20131464.579999998</v>
      </c>
      <c r="J16" s="1320">
        <f t="shared" si="1"/>
        <v>0</v>
      </c>
    </row>
    <row r="17" spans="2:10">
      <c r="B17" s="474" t="s">
        <v>1540</v>
      </c>
      <c r="C17" s="475"/>
      <c r="D17" s="477"/>
      <c r="E17" s="476">
        <f>+BSPL!F462</f>
        <v>4661821.3</v>
      </c>
      <c r="F17" s="479"/>
      <c r="G17" s="559">
        <f t="shared" si="0"/>
        <v>4661821.3</v>
      </c>
      <c r="H17" s="487">
        <f>+BSPL!G462</f>
        <v>4531690.97</v>
      </c>
      <c r="I17" s="1311">
        <v>4953944.97</v>
      </c>
      <c r="J17" s="1320">
        <f t="shared" si="1"/>
        <v>-422254</v>
      </c>
    </row>
    <row r="18" spans="2:10">
      <c r="B18" s="474" t="str">
        <f>'[47]Balance Sheet'!B538</f>
        <v>Raw Material Sorting Charges</v>
      </c>
      <c r="C18" s="475"/>
      <c r="D18" s="477"/>
      <c r="E18" s="476">
        <f>+BSPL!F466</f>
        <v>4167429</v>
      </c>
      <c r="F18" s="479"/>
      <c r="G18" s="559">
        <f t="shared" si="0"/>
        <v>4167429</v>
      </c>
      <c r="H18" s="487">
        <f>+BSPL!G466</f>
        <v>4086715</v>
      </c>
      <c r="I18" s="1311">
        <v>4086715</v>
      </c>
      <c r="J18" s="1320">
        <f t="shared" si="1"/>
        <v>0</v>
      </c>
    </row>
    <row r="19" spans="2:10">
      <c r="B19" s="474" t="str">
        <f>'[47]Balance Sheet'!B541</f>
        <v>Finished Goods Packing and Allied Charges</v>
      </c>
      <c r="C19" s="480"/>
      <c r="D19" s="481"/>
      <c r="E19" s="476">
        <f>+BSPL!F463</f>
        <v>2841598</v>
      </c>
      <c r="F19" s="478"/>
      <c r="G19" s="559">
        <f t="shared" si="0"/>
        <v>2841598</v>
      </c>
      <c r="H19" s="487">
        <f>+BSPL!G463</f>
        <v>2585804</v>
      </c>
      <c r="I19" s="1311">
        <v>2585804</v>
      </c>
      <c r="J19" s="1320">
        <f t="shared" si="1"/>
        <v>0</v>
      </c>
    </row>
    <row r="20" spans="2:10">
      <c r="B20" s="474" t="s">
        <v>1541</v>
      </c>
      <c r="C20" s="480"/>
      <c r="D20" s="481"/>
      <c r="E20" s="476">
        <f>+BSPL!F472</f>
        <v>6659960</v>
      </c>
      <c r="F20" s="478"/>
      <c r="G20" s="559">
        <f t="shared" si="0"/>
        <v>6659960</v>
      </c>
      <c r="H20" s="487">
        <f>+BSPL!G472</f>
        <v>6522638</v>
      </c>
      <c r="I20" s="1311">
        <v>6522638</v>
      </c>
      <c r="J20" s="1320">
        <f t="shared" si="1"/>
        <v>0</v>
      </c>
    </row>
    <row r="21" spans="2:10">
      <c r="B21" s="474" t="s">
        <v>630</v>
      </c>
      <c r="C21" s="475"/>
      <c r="D21" s="477"/>
      <c r="E21" s="476">
        <f>+BSPL!F91</f>
        <v>17192939</v>
      </c>
      <c r="F21" s="479"/>
      <c r="G21" s="559">
        <f t="shared" si="0"/>
        <v>17192939</v>
      </c>
      <c r="H21" s="487">
        <f>+BSPL!G91</f>
        <v>16467600</v>
      </c>
      <c r="I21" s="1311">
        <v>16467600</v>
      </c>
      <c r="J21" s="1320">
        <f t="shared" si="1"/>
        <v>0</v>
      </c>
    </row>
    <row r="22" spans="2:10">
      <c r="B22" s="482" t="s">
        <v>1542</v>
      </c>
      <c r="C22" s="480"/>
      <c r="D22" s="481"/>
      <c r="E22" s="476"/>
      <c r="F22" s="478"/>
      <c r="G22" s="559">
        <f t="shared" si="0"/>
        <v>0</v>
      </c>
      <c r="H22" s="487"/>
      <c r="I22" s="1311">
        <v>0</v>
      </c>
      <c r="J22" s="1320">
        <f t="shared" si="1"/>
        <v>0</v>
      </c>
    </row>
    <row r="23" spans="2:10">
      <c r="B23" s="474" t="str">
        <f>'[47]Balance Sheet'!B519</f>
        <v>Contribution to Funds</v>
      </c>
      <c r="C23" s="480"/>
      <c r="D23" s="481"/>
      <c r="E23" s="476">
        <f>+BSPL!F450</f>
        <v>2072611</v>
      </c>
      <c r="F23" s="478"/>
      <c r="G23" s="559">
        <f t="shared" si="0"/>
        <v>2072611</v>
      </c>
      <c r="H23" s="487">
        <f>+BSPL!G450</f>
        <v>2025184</v>
      </c>
      <c r="I23" s="1311">
        <v>2025184</v>
      </c>
      <c r="J23" s="1320">
        <f t="shared" si="1"/>
        <v>0</v>
      </c>
    </row>
    <row r="24" spans="2:10">
      <c r="B24" s="474" t="s">
        <v>675</v>
      </c>
      <c r="C24" s="480"/>
      <c r="D24" s="481"/>
      <c r="E24" s="476">
        <f>+BSPL!F451</f>
        <v>239427</v>
      </c>
      <c r="F24" s="478"/>
      <c r="G24" s="559">
        <f t="shared" si="0"/>
        <v>239427</v>
      </c>
      <c r="H24" s="487">
        <f>+BSPL!G451</f>
        <v>448302</v>
      </c>
      <c r="I24" s="1311">
        <v>26048</v>
      </c>
      <c r="J24" s="1320">
        <f t="shared" si="1"/>
        <v>422254</v>
      </c>
    </row>
    <row r="25" spans="2:10">
      <c r="B25" s="474" t="s">
        <v>922</v>
      </c>
      <c r="C25" s="480"/>
      <c r="D25" s="481"/>
      <c r="E25" s="476"/>
      <c r="F25" s="478"/>
      <c r="G25" s="559">
        <f t="shared" si="0"/>
        <v>0</v>
      </c>
      <c r="H25" s="559"/>
      <c r="I25" s="1311">
        <v>0</v>
      </c>
      <c r="J25" s="1320">
        <f t="shared" si="1"/>
        <v>0</v>
      </c>
    </row>
    <row r="26" spans="2:10">
      <c r="B26" s="474" t="s">
        <v>934</v>
      </c>
      <c r="C26" s="480"/>
      <c r="D26" s="481"/>
      <c r="E26" s="476">
        <v>0</v>
      </c>
      <c r="F26" s="478"/>
      <c r="G26" s="559">
        <f>-BSPL!F426</f>
        <v>-9443500</v>
      </c>
      <c r="H26" s="559">
        <v>-9443500</v>
      </c>
      <c r="I26" s="1311">
        <v>-9443500</v>
      </c>
      <c r="J26" s="1320">
        <f t="shared" si="1"/>
        <v>0</v>
      </c>
    </row>
    <row r="27" spans="2:10">
      <c r="B27" s="474"/>
      <c r="C27" s="480"/>
      <c r="D27" s="481"/>
      <c r="E27" s="476"/>
      <c r="F27" s="478"/>
      <c r="G27" s="559"/>
      <c r="H27" s="559"/>
    </row>
    <row r="28" spans="2:10" ht="15.75" thickBot="1">
      <c r="B28" s="483" t="s">
        <v>425</v>
      </c>
      <c r="C28" s="569"/>
      <c r="D28" s="570"/>
      <c r="E28" s="560"/>
      <c r="F28" s="560"/>
      <c r="G28" s="488">
        <f>SUM(G9:G26)</f>
        <v>636599702.64871466</v>
      </c>
      <c r="H28" s="488">
        <f>SUM(H9:H26)</f>
        <v>696432483.93999994</v>
      </c>
    </row>
    <row r="29" spans="2:10" ht="15.75" thickTop="1">
      <c r="B29" s="471"/>
      <c r="C29" s="484" t="s">
        <v>1543</v>
      </c>
      <c r="D29" s="471"/>
      <c r="E29" s="471"/>
      <c r="F29" s="471"/>
      <c r="G29" s="489">
        <f>G28/G7</f>
        <v>18853.93723166304</v>
      </c>
      <c r="H29" s="489">
        <f>H28/H7</f>
        <v>20863.612113691794</v>
      </c>
    </row>
    <row r="30" spans="2:10">
      <c r="B30" s="471"/>
      <c r="C30" s="471"/>
      <c r="D30" s="471"/>
      <c r="E30" s="471"/>
      <c r="F30" s="471"/>
      <c r="G30" s="486"/>
    </row>
    <row r="31" spans="2:10">
      <c r="B31" s="471"/>
      <c r="C31" s="471"/>
      <c r="D31" s="471"/>
      <c r="E31" s="471"/>
      <c r="F31" s="471"/>
      <c r="G31" s="486">
        <v>0</v>
      </c>
    </row>
    <row r="32" spans="2:10">
      <c r="B32" s="471"/>
      <c r="C32" s="471"/>
      <c r="D32" s="484" t="s">
        <v>1544</v>
      </c>
      <c r="E32" s="484"/>
      <c r="F32" s="471"/>
      <c r="G32" s="489">
        <f>SUM(G29:G31)</f>
        <v>18853.93723166304</v>
      </c>
      <c r="H32" s="489">
        <f>SUM(H29:H31)</f>
        <v>20863.612113691794</v>
      </c>
    </row>
    <row r="33" spans="2:11">
      <c r="B33" s="471"/>
      <c r="C33" s="484" t="s">
        <v>1545</v>
      </c>
      <c r="D33" s="471"/>
      <c r="E33" s="471"/>
      <c r="F33" s="471"/>
      <c r="G33" s="489">
        <f>+'CLOSING STOCK 31-03-20'!O49</f>
        <v>416.44099999999997</v>
      </c>
      <c r="H33" s="489">
        <v>387.95</v>
      </c>
    </row>
    <row r="34" spans="2:11">
      <c r="B34" s="471"/>
      <c r="C34" s="471"/>
      <c r="D34" s="471"/>
      <c r="E34" s="471"/>
      <c r="F34" s="471"/>
      <c r="G34" s="486"/>
      <c r="H34" s="486"/>
    </row>
    <row r="35" spans="2:11">
      <c r="B35" s="471"/>
      <c r="C35" s="484" t="s">
        <v>1546</v>
      </c>
      <c r="D35" s="471"/>
      <c r="E35" s="471"/>
      <c r="F35" s="471"/>
      <c r="G35" s="490">
        <f>G32*G33</f>
        <v>7851552.4746909877</v>
      </c>
      <c r="H35" s="490">
        <f>H32*H33</f>
        <v>8094038.3195067309</v>
      </c>
    </row>
    <row r="36" spans="2:11">
      <c r="B36" s="471"/>
      <c r="C36" s="471"/>
      <c r="D36" s="471"/>
      <c r="E36" s="471"/>
      <c r="F36" s="471"/>
      <c r="G36" s="486"/>
    </row>
    <row r="37" spans="2:11">
      <c r="B37" s="471"/>
      <c r="C37" s="471" t="s">
        <v>1731</v>
      </c>
      <c r="D37" s="471">
        <f>+SUM(I46:I81)</f>
        <v>411.89200000000005</v>
      </c>
      <c r="E37" s="471">
        <f>+F37/D37</f>
        <v>21687.571620716106</v>
      </c>
      <c r="F37" s="471">
        <f>+SUM(K46:K81)</f>
        <v>8932937.25</v>
      </c>
      <c r="G37" s="486"/>
    </row>
    <row r="38" spans="2:11">
      <c r="B38" s="471"/>
      <c r="C38" s="471"/>
      <c r="D38" s="471"/>
      <c r="E38" s="471"/>
      <c r="F38" s="471"/>
      <c r="G38" s="486"/>
    </row>
    <row r="39" spans="2:11">
      <c r="B39" s="471"/>
      <c r="C39" s="484" t="s">
        <v>1547</v>
      </c>
      <c r="D39" s="471"/>
      <c r="E39" s="471"/>
      <c r="F39" s="471"/>
      <c r="G39" s="489"/>
    </row>
    <row r="42" spans="2:11" hidden="1">
      <c r="B42" s="1311"/>
      <c r="C42" s="1311"/>
      <c r="D42" s="1311"/>
      <c r="E42" s="1311"/>
      <c r="F42" s="1311"/>
      <c r="G42" s="1312"/>
      <c r="H42" s="1312"/>
    </row>
    <row r="43" spans="2:11" ht="15.75" hidden="1">
      <c r="B43" s="1528" t="s">
        <v>1550</v>
      </c>
      <c r="C43" s="1528"/>
      <c r="D43" s="1528"/>
      <c r="E43" s="1321"/>
      <c r="F43" s="1321"/>
      <c r="G43" s="1321"/>
      <c r="H43" s="1321"/>
      <c r="I43" s="1321"/>
      <c r="J43" s="1321"/>
      <c r="K43" s="1321"/>
    </row>
    <row r="44" spans="2:11" hidden="1">
      <c r="B44" s="1529" t="s">
        <v>1551</v>
      </c>
      <c r="C44" s="1529"/>
      <c r="D44" s="1529"/>
      <c r="E44" s="1321"/>
      <c r="F44" s="1321"/>
      <c r="G44" s="1321"/>
      <c r="H44" s="1321"/>
      <c r="I44" s="1321"/>
      <c r="J44" s="1321"/>
      <c r="K44" s="1321"/>
    </row>
    <row r="45" spans="2:11" ht="24" hidden="1">
      <c r="B45" s="1322" t="s">
        <v>1331</v>
      </c>
      <c r="C45" s="1324" t="s">
        <v>9</v>
      </c>
      <c r="D45" s="1322" t="s">
        <v>1552</v>
      </c>
      <c r="E45" s="1322" t="s">
        <v>1553</v>
      </c>
      <c r="F45" s="1322" t="s">
        <v>1554</v>
      </c>
      <c r="G45" s="1322" t="s">
        <v>1555</v>
      </c>
      <c r="H45" s="1322" t="s">
        <v>1556</v>
      </c>
      <c r="I45" s="1322" t="s">
        <v>1732</v>
      </c>
      <c r="J45" s="1322" t="s">
        <v>1492</v>
      </c>
      <c r="K45" s="1322" t="s">
        <v>1046</v>
      </c>
    </row>
    <row r="46" spans="2:11" hidden="1">
      <c r="B46" s="1325">
        <v>43925</v>
      </c>
      <c r="C46" s="1326" t="s">
        <v>64</v>
      </c>
      <c r="D46" s="1327" t="s">
        <v>1046</v>
      </c>
      <c r="E46" s="1328" t="s">
        <v>1557</v>
      </c>
      <c r="F46" s="1327" t="s">
        <v>1558</v>
      </c>
      <c r="G46" s="1329">
        <v>7758</v>
      </c>
      <c r="H46" s="1323">
        <v>190358</v>
      </c>
      <c r="I46" s="1323">
        <f>+G46/1000</f>
        <v>7.758</v>
      </c>
      <c r="J46" s="1323">
        <f>+K46/I46</f>
        <v>21850</v>
      </c>
      <c r="K46" s="1323">
        <v>169512.3</v>
      </c>
    </row>
    <row r="47" spans="2:11" hidden="1">
      <c r="B47" s="1330">
        <v>43925</v>
      </c>
      <c r="C47" s="1331" t="s">
        <v>64</v>
      </c>
      <c r="D47" s="1332" t="s">
        <v>1046</v>
      </c>
      <c r="E47" s="1333" t="s">
        <v>1559</v>
      </c>
      <c r="F47" s="1332" t="s">
        <v>1560</v>
      </c>
      <c r="G47" s="1334">
        <v>9034</v>
      </c>
      <c r="H47" s="1335">
        <v>221585</v>
      </c>
      <c r="I47" s="1323">
        <f t="shared" ref="I47:I110" si="2">+G47/1000</f>
        <v>9.0340000000000007</v>
      </c>
      <c r="J47" s="1323">
        <f t="shared" ref="J47:J110" si="3">+K47/I47</f>
        <v>21849.999999999996</v>
      </c>
      <c r="K47" s="1323">
        <v>197392.9</v>
      </c>
    </row>
    <row r="48" spans="2:11" hidden="1">
      <c r="B48" s="1330">
        <v>43925</v>
      </c>
      <c r="C48" s="1331" t="s">
        <v>255</v>
      </c>
      <c r="D48" s="1332" t="s">
        <v>1046</v>
      </c>
      <c r="E48" s="1333" t="s">
        <v>1561</v>
      </c>
      <c r="F48" s="1332" t="s">
        <v>1562</v>
      </c>
      <c r="G48" s="1334">
        <v>21544</v>
      </c>
      <c r="H48" s="1335">
        <v>508151</v>
      </c>
      <c r="I48" s="1323">
        <f t="shared" si="2"/>
        <v>21.544</v>
      </c>
      <c r="J48" s="1323">
        <f t="shared" si="3"/>
        <v>21059.482918678055</v>
      </c>
      <c r="K48" s="1323">
        <v>453705.5</v>
      </c>
    </row>
    <row r="49" spans="2:11" hidden="1">
      <c r="B49" s="1330">
        <v>43925</v>
      </c>
      <c r="C49" s="1331" t="s">
        <v>201</v>
      </c>
      <c r="D49" s="1332" t="s">
        <v>1046</v>
      </c>
      <c r="E49" s="1333" t="s">
        <v>1563</v>
      </c>
      <c r="F49" s="1332" t="s">
        <v>1564</v>
      </c>
      <c r="G49" s="1334">
        <v>9753</v>
      </c>
      <c r="H49" s="1335">
        <v>260138</v>
      </c>
      <c r="I49" s="1323">
        <f t="shared" si="2"/>
        <v>9.7530000000000001</v>
      </c>
      <c r="J49" s="1323">
        <f t="shared" si="3"/>
        <v>23777.914487849892</v>
      </c>
      <c r="K49" s="1323">
        <v>231906</v>
      </c>
    </row>
    <row r="50" spans="2:11" hidden="1">
      <c r="B50" s="1330">
        <v>43925</v>
      </c>
      <c r="C50" s="1331" t="s">
        <v>64</v>
      </c>
      <c r="D50" s="1332" t="s">
        <v>1046</v>
      </c>
      <c r="E50" s="1333" t="s">
        <v>1565</v>
      </c>
      <c r="F50" s="1332" t="s">
        <v>1566</v>
      </c>
      <c r="G50" s="1334">
        <v>7380</v>
      </c>
      <c r="H50" s="1335">
        <v>176873</v>
      </c>
      <c r="I50" s="1323">
        <f t="shared" si="2"/>
        <v>7.38</v>
      </c>
      <c r="J50" s="1323">
        <f t="shared" si="3"/>
        <v>21350</v>
      </c>
      <c r="K50" s="1323">
        <v>157563</v>
      </c>
    </row>
    <row r="51" spans="2:11" hidden="1">
      <c r="B51" s="1330">
        <v>43926</v>
      </c>
      <c r="C51" s="1331" t="s">
        <v>417</v>
      </c>
      <c r="D51" s="1332" t="s">
        <v>1046</v>
      </c>
      <c r="E51" s="1333" t="s">
        <v>1567</v>
      </c>
      <c r="F51" s="1332" t="s">
        <v>1565</v>
      </c>
      <c r="G51" s="1334">
        <v>16251</v>
      </c>
      <c r="H51" s="1335">
        <v>345821</v>
      </c>
      <c r="I51" s="1323">
        <f t="shared" si="2"/>
        <v>16.251000000000001</v>
      </c>
      <c r="J51" s="1323">
        <f t="shared" si="3"/>
        <v>19000</v>
      </c>
      <c r="K51" s="1323">
        <v>308769</v>
      </c>
    </row>
    <row r="52" spans="2:11" hidden="1">
      <c r="B52" s="1330">
        <v>43926</v>
      </c>
      <c r="C52" s="1331" t="s">
        <v>417</v>
      </c>
      <c r="D52" s="1332" t="s">
        <v>1046</v>
      </c>
      <c r="E52" s="1333" t="s">
        <v>1568</v>
      </c>
      <c r="F52" s="1332" t="s">
        <v>1569</v>
      </c>
      <c r="G52" s="1334">
        <v>7986</v>
      </c>
      <c r="H52" s="1335">
        <v>178886</v>
      </c>
      <c r="I52" s="1323">
        <f t="shared" si="2"/>
        <v>7.9859999999999998</v>
      </c>
      <c r="J52" s="1323">
        <f t="shared" si="3"/>
        <v>20000</v>
      </c>
      <c r="K52" s="1323">
        <v>159720</v>
      </c>
    </row>
    <row r="53" spans="2:11" hidden="1">
      <c r="B53" s="1330">
        <v>43926</v>
      </c>
      <c r="C53" s="1331" t="s">
        <v>417</v>
      </c>
      <c r="D53" s="1332" t="s">
        <v>1046</v>
      </c>
      <c r="E53" s="1333" t="s">
        <v>1570</v>
      </c>
      <c r="F53" s="1332" t="s">
        <v>1571</v>
      </c>
      <c r="G53" s="1334">
        <v>7359</v>
      </c>
      <c r="H53" s="1335">
        <v>164842</v>
      </c>
      <c r="I53" s="1323">
        <f t="shared" si="2"/>
        <v>7.359</v>
      </c>
      <c r="J53" s="1323">
        <f t="shared" si="3"/>
        <v>20000</v>
      </c>
      <c r="K53" s="1323">
        <v>147180</v>
      </c>
    </row>
    <row r="54" spans="2:11" hidden="1">
      <c r="B54" s="1330">
        <v>43926</v>
      </c>
      <c r="C54" s="1331" t="s">
        <v>417</v>
      </c>
      <c r="D54" s="1332" t="s">
        <v>1046</v>
      </c>
      <c r="E54" s="1333" t="s">
        <v>1572</v>
      </c>
      <c r="F54" s="1332" t="s">
        <v>1573</v>
      </c>
      <c r="G54" s="1334">
        <v>15585</v>
      </c>
      <c r="H54" s="1335">
        <v>412436</v>
      </c>
      <c r="I54" s="1323">
        <f t="shared" si="2"/>
        <v>15.585000000000001</v>
      </c>
      <c r="J54" s="1323">
        <f t="shared" si="3"/>
        <v>23628.200192492779</v>
      </c>
      <c r="K54" s="1323">
        <v>368245.5</v>
      </c>
    </row>
    <row r="55" spans="2:11" hidden="1">
      <c r="B55" s="1330">
        <v>43927</v>
      </c>
      <c r="C55" s="1331" t="s">
        <v>255</v>
      </c>
      <c r="D55" s="1332" t="s">
        <v>1046</v>
      </c>
      <c r="E55" s="1333" t="s">
        <v>1574</v>
      </c>
      <c r="F55" s="1332" t="s">
        <v>1568</v>
      </c>
      <c r="G55" s="1334">
        <v>16649</v>
      </c>
      <c r="H55" s="1335">
        <v>380418</v>
      </c>
      <c r="I55" s="1323">
        <f t="shared" si="2"/>
        <v>16.649000000000001</v>
      </c>
      <c r="J55" s="1323">
        <f t="shared" si="3"/>
        <v>20401.150219232386</v>
      </c>
      <c r="K55" s="1323">
        <v>339658.75</v>
      </c>
    </row>
    <row r="56" spans="2:11" hidden="1">
      <c r="B56" s="1330">
        <v>43927</v>
      </c>
      <c r="C56" s="1331" t="s">
        <v>417</v>
      </c>
      <c r="D56" s="1332" t="s">
        <v>1046</v>
      </c>
      <c r="E56" s="1333" t="s">
        <v>1575</v>
      </c>
      <c r="F56" s="1332" t="s">
        <v>1576</v>
      </c>
      <c r="G56" s="1334">
        <v>8702</v>
      </c>
      <c r="H56" s="1335">
        <v>194924</v>
      </c>
      <c r="I56" s="1323">
        <f t="shared" si="2"/>
        <v>8.702</v>
      </c>
      <c r="J56" s="1323">
        <f t="shared" si="3"/>
        <v>20000</v>
      </c>
      <c r="K56" s="1323">
        <v>174040</v>
      </c>
    </row>
    <row r="57" spans="2:11" hidden="1">
      <c r="B57" s="1330">
        <v>43928</v>
      </c>
      <c r="C57" s="1331" t="s">
        <v>255</v>
      </c>
      <c r="D57" s="1332" t="s">
        <v>1046</v>
      </c>
      <c r="E57" s="1333" t="s">
        <v>1577</v>
      </c>
      <c r="F57" s="1332" t="s">
        <v>1570</v>
      </c>
      <c r="G57" s="1334">
        <v>16274</v>
      </c>
      <c r="H57" s="1335">
        <v>359727</v>
      </c>
      <c r="I57" s="1323">
        <f t="shared" si="2"/>
        <v>16.274000000000001</v>
      </c>
      <c r="J57" s="1323">
        <f t="shared" si="3"/>
        <v>19653.096964483222</v>
      </c>
      <c r="K57" s="1323">
        <v>319834.5</v>
      </c>
    </row>
    <row r="58" spans="2:11" hidden="1">
      <c r="B58" s="1330">
        <v>43928</v>
      </c>
      <c r="C58" s="1331" t="s">
        <v>64</v>
      </c>
      <c r="D58" s="1332" t="s">
        <v>1046</v>
      </c>
      <c r="E58" s="1333" t="s">
        <v>1578</v>
      </c>
      <c r="F58" s="1332" t="s">
        <v>1579</v>
      </c>
      <c r="G58" s="1334">
        <v>10335</v>
      </c>
      <c r="H58" s="1335">
        <v>248954</v>
      </c>
      <c r="I58" s="1323">
        <f t="shared" si="2"/>
        <v>10.335000000000001</v>
      </c>
      <c r="J58" s="1323">
        <f t="shared" si="3"/>
        <v>21459.627479438797</v>
      </c>
      <c r="K58" s="1323">
        <v>221785.25</v>
      </c>
    </row>
    <row r="59" spans="2:11" hidden="1">
      <c r="B59" s="1330">
        <v>43928</v>
      </c>
      <c r="C59" s="1331" t="s">
        <v>244</v>
      </c>
      <c r="D59" s="1332" t="s">
        <v>1046</v>
      </c>
      <c r="E59" s="1333" t="s">
        <v>1580</v>
      </c>
      <c r="F59" s="1332" t="s">
        <v>1581</v>
      </c>
      <c r="G59" s="1334">
        <v>1630</v>
      </c>
      <c r="H59" s="1335">
        <v>42959</v>
      </c>
      <c r="I59" s="1323">
        <f t="shared" si="2"/>
        <v>1.63</v>
      </c>
      <c r="J59" s="1323">
        <f t="shared" si="3"/>
        <v>23531.595092024541</v>
      </c>
      <c r="K59" s="1323">
        <v>38356.5</v>
      </c>
    </row>
    <row r="60" spans="2:11" hidden="1">
      <c r="B60" s="1330">
        <v>43929</v>
      </c>
      <c r="C60" s="1331" t="s">
        <v>417</v>
      </c>
      <c r="D60" s="1332" t="s">
        <v>1046</v>
      </c>
      <c r="E60" s="1333" t="s">
        <v>1582</v>
      </c>
      <c r="F60" s="1332" t="s">
        <v>1583</v>
      </c>
      <c r="G60" s="1334">
        <v>17933</v>
      </c>
      <c r="H60" s="1335">
        <v>451358</v>
      </c>
      <c r="I60" s="1323">
        <f t="shared" si="2"/>
        <v>17.933</v>
      </c>
      <c r="J60" s="1323">
        <f t="shared" si="3"/>
        <v>22472.425138013718</v>
      </c>
      <c r="K60" s="1323">
        <v>402998</v>
      </c>
    </row>
    <row r="61" spans="2:11" hidden="1">
      <c r="B61" s="1330">
        <v>43929</v>
      </c>
      <c r="C61" s="1331" t="s">
        <v>417</v>
      </c>
      <c r="D61" s="1332" t="s">
        <v>1046</v>
      </c>
      <c r="E61" s="1333" t="s">
        <v>1584</v>
      </c>
      <c r="F61" s="1332" t="s">
        <v>1585</v>
      </c>
      <c r="G61" s="1334">
        <v>16115</v>
      </c>
      <c r="H61" s="1335">
        <v>372165</v>
      </c>
      <c r="I61" s="1323">
        <f t="shared" si="2"/>
        <v>16.114999999999998</v>
      </c>
      <c r="J61" s="1323">
        <f t="shared" si="3"/>
        <v>20619.981383803912</v>
      </c>
      <c r="K61" s="1323">
        <v>332291</v>
      </c>
    </row>
    <row r="62" spans="2:11" hidden="1">
      <c r="B62" s="1330">
        <v>43929</v>
      </c>
      <c r="C62" s="1331" t="s">
        <v>350</v>
      </c>
      <c r="D62" s="1332" t="s">
        <v>1046</v>
      </c>
      <c r="E62" s="1333" t="s">
        <v>1586</v>
      </c>
      <c r="F62" s="1332" t="s">
        <v>1587</v>
      </c>
      <c r="G62" s="1334">
        <v>17315</v>
      </c>
      <c r="H62" s="1335">
        <v>401097</v>
      </c>
      <c r="I62" s="1323">
        <f t="shared" si="2"/>
        <v>17.315000000000001</v>
      </c>
      <c r="J62" s="1323">
        <f t="shared" si="3"/>
        <v>23050.404273751083</v>
      </c>
      <c r="K62" s="1323">
        <v>399117.75</v>
      </c>
    </row>
    <row r="63" spans="2:11" hidden="1">
      <c r="B63" s="1330">
        <v>43929</v>
      </c>
      <c r="C63" s="1331" t="s">
        <v>201</v>
      </c>
      <c r="D63" s="1332" t="s">
        <v>1046</v>
      </c>
      <c r="E63" s="1333" t="s">
        <v>1588</v>
      </c>
      <c r="F63" s="1332" t="s">
        <v>1589</v>
      </c>
      <c r="G63" s="1334">
        <v>8009</v>
      </c>
      <c r="H63" s="1335">
        <v>212096</v>
      </c>
      <c r="I63" s="1323">
        <f t="shared" si="2"/>
        <v>8.0090000000000003</v>
      </c>
      <c r="J63" s="1323">
        <f t="shared" si="3"/>
        <v>23600</v>
      </c>
      <c r="K63" s="1323">
        <v>189012.4</v>
      </c>
    </row>
    <row r="64" spans="2:11" hidden="1">
      <c r="B64" s="1330">
        <v>43929</v>
      </c>
      <c r="C64" s="1331" t="s">
        <v>201</v>
      </c>
      <c r="D64" s="1332" t="s">
        <v>1046</v>
      </c>
      <c r="E64" s="1333" t="s">
        <v>1590</v>
      </c>
      <c r="F64" s="1332" t="s">
        <v>1591</v>
      </c>
      <c r="G64" s="1334">
        <v>8647</v>
      </c>
      <c r="H64" s="1335">
        <v>243488</v>
      </c>
      <c r="I64" s="1323">
        <f t="shared" si="2"/>
        <v>8.6470000000000002</v>
      </c>
      <c r="J64" s="1323">
        <f t="shared" si="3"/>
        <v>25100</v>
      </c>
      <c r="K64" s="1323">
        <v>217039.7</v>
      </c>
    </row>
    <row r="65" spans="2:11" hidden="1">
      <c r="B65" s="1330">
        <v>43930</v>
      </c>
      <c r="C65" s="1331" t="s">
        <v>417</v>
      </c>
      <c r="D65" s="1332" t="s">
        <v>1046</v>
      </c>
      <c r="E65" s="1333" t="s">
        <v>1592</v>
      </c>
      <c r="F65" s="1332" t="s">
        <v>1575</v>
      </c>
      <c r="G65" s="1334">
        <v>20887</v>
      </c>
      <c r="H65" s="1335">
        <v>515509</v>
      </c>
      <c r="I65" s="1323">
        <f t="shared" si="2"/>
        <v>20.887</v>
      </c>
      <c r="J65" s="1323">
        <f t="shared" si="3"/>
        <v>22036.434145640829</v>
      </c>
      <c r="K65" s="1323">
        <v>460275</v>
      </c>
    </row>
    <row r="66" spans="2:11" hidden="1">
      <c r="B66" s="1330">
        <v>43930</v>
      </c>
      <c r="C66" s="1331" t="s">
        <v>417</v>
      </c>
      <c r="D66" s="1332" t="s">
        <v>1046</v>
      </c>
      <c r="E66" s="1333" t="s">
        <v>1593</v>
      </c>
      <c r="F66" s="1332" t="s">
        <v>1594</v>
      </c>
      <c r="G66" s="1334">
        <v>8323</v>
      </c>
      <c r="H66" s="1335">
        <v>186436</v>
      </c>
      <c r="I66" s="1323">
        <f t="shared" si="2"/>
        <v>8.3230000000000004</v>
      </c>
      <c r="J66" s="1323">
        <f t="shared" si="3"/>
        <v>20000</v>
      </c>
      <c r="K66" s="1323">
        <v>166460</v>
      </c>
    </row>
    <row r="67" spans="2:11" hidden="1">
      <c r="B67" s="1330">
        <v>43931</v>
      </c>
      <c r="C67" s="1331" t="s">
        <v>201</v>
      </c>
      <c r="D67" s="1332" t="s">
        <v>1046</v>
      </c>
      <c r="E67" s="1333" t="s">
        <v>1595</v>
      </c>
      <c r="F67" s="1332" t="s">
        <v>1596</v>
      </c>
      <c r="G67" s="1334">
        <v>9131</v>
      </c>
      <c r="H67" s="1335">
        <v>261438</v>
      </c>
      <c r="I67" s="1323">
        <f t="shared" si="2"/>
        <v>9.1310000000000002</v>
      </c>
      <c r="J67" s="1323">
        <f t="shared" si="3"/>
        <v>25500</v>
      </c>
      <c r="K67" s="1323">
        <v>232840.5</v>
      </c>
    </row>
    <row r="68" spans="2:11" hidden="1">
      <c r="B68" s="1330">
        <v>43931</v>
      </c>
      <c r="C68" s="1331" t="s">
        <v>518</v>
      </c>
      <c r="D68" s="1332" t="s">
        <v>1046</v>
      </c>
      <c r="E68" s="1333" t="s">
        <v>1597</v>
      </c>
      <c r="F68" s="1332" t="s">
        <v>1578</v>
      </c>
      <c r="G68" s="1334">
        <v>16000</v>
      </c>
      <c r="H68" s="1335">
        <v>362164</v>
      </c>
      <c r="I68" s="1323">
        <f t="shared" si="2"/>
        <v>16</v>
      </c>
      <c r="J68" s="1323">
        <f t="shared" si="3"/>
        <v>20210.0625</v>
      </c>
      <c r="K68" s="1323">
        <v>323361</v>
      </c>
    </row>
    <row r="69" spans="2:11" hidden="1">
      <c r="B69" s="1330">
        <v>43932</v>
      </c>
      <c r="C69" s="1331" t="s">
        <v>64</v>
      </c>
      <c r="D69" s="1332" t="s">
        <v>1046</v>
      </c>
      <c r="E69" s="1333" t="s">
        <v>1598</v>
      </c>
      <c r="F69" s="1332" t="s">
        <v>1599</v>
      </c>
      <c r="G69" s="1334">
        <v>7961</v>
      </c>
      <c r="H69" s="1335">
        <v>192054</v>
      </c>
      <c r="I69" s="1323">
        <f t="shared" si="2"/>
        <v>7.9610000000000003</v>
      </c>
      <c r="J69" s="1323">
        <f t="shared" si="3"/>
        <v>21482.960683331239</v>
      </c>
      <c r="K69" s="1323">
        <v>171025.85</v>
      </c>
    </row>
    <row r="70" spans="2:11" hidden="1">
      <c r="B70" s="1330">
        <v>43932</v>
      </c>
      <c r="C70" s="1331" t="s">
        <v>417</v>
      </c>
      <c r="D70" s="1332" t="s">
        <v>1046</v>
      </c>
      <c r="E70" s="1333" t="s">
        <v>1600</v>
      </c>
      <c r="F70" s="1332" t="s">
        <v>1601</v>
      </c>
      <c r="G70" s="1334">
        <v>24744</v>
      </c>
      <c r="H70" s="1335">
        <v>615627</v>
      </c>
      <c r="I70" s="1323">
        <f t="shared" si="2"/>
        <v>24.744</v>
      </c>
      <c r="J70" s="1323">
        <f t="shared" si="3"/>
        <v>22214.132719043002</v>
      </c>
      <c r="K70" s="1323">
        <v>549666.5</v>
      </c>
    </row>
    <row r="71" spans="2:11" hidden="1">
      <c r="B71" s="1330">
        <v>43933</v>
      </c>
      <c r="C71" s="1331" t="s">
        <v>201</v>
      </c>
      <c r="D71" s="1332" t="s">
        <v>1046</v>
      </c>
      <c r="E71" s="1333" t="s">
        <v>1602</v>
      </c>
      <c r="F71" s="1332" t="s">
        <v>1603</v>
      </c>
      <c r="G71" s="1334">
        <v>7471</v>
      </c>
      <c r="H71" s="1335">
        <v>204080</v>
      </c>
      <c r="I71" s="1323">
        <f t="shared" si="2"/>
        <v>7.4710000000000001</v>
      </c>
      <c r="J71" s="1323">
        <f t="shared" si="3"/>
        <v>24341.266229420427</v>
      </c>
      <c r="K71" s="1323">
        <v>181853.6</v>
      </c>
    </row>
    <row r="72" spans="2:11" hidden="1">
      <c r="B72" s="1330">
        <v>43933</v>
      </c>
      <c r="C72" s="1331" t="s">
        <v>417</v>
      </c>
      <c r="D72" s="1332" t="s">
        <v>1046</v>
      </c>
      <c r="E72" s="1333" t="s">
        <v>1604</v>
      </c>
      <c r="F72" s="1332" t="s">
        <v>1605</v>
      </c>
      <c r="G72" s="1334">
        <v>4306</v>
      </c>
      <c r="H72" s="1335">
        <v>120601</v>
      </c>
      <c r="I72" s="1323">
        <f t="shared" si="2"/>
        <v>4.306</v>
      </c>
      <c r="J72" s="1323">
        <f t="shared" si="3"/>
        <v>25006.618671620992</v>
      </c>
      <c r="K72" s="1323">
        <v>107678.5</v>
      </c>
    </row>
    <row r="73" spans="2:11" hidden="1">
      <c r="B73" s="1330">
        <v>43935</v>
      </c>
      <c r="C73" s="1331" t="s">
        <v>201</v>
      </c>
      <c r="D73" s="1332" t="s">
        <v>1046</v>
      </c>
      <c r="E73" s="1333" t="s">
        <v>1606</v>
      </c>
      <c r="F73" s="1332" t="s">
        <v>1607</v>
      </c>
      <c r="G73" s="1334">
        <v>9380</v>
      </c>
      <c r="H73" s="1335">
        <v>255365</v>
      </c>
      <c r="I73" s="1323">
        <f t="shared" si="2"/>
        <v>9.3800000000000008</v>
      </c>
      <c r="J73" s="1323">
        <f t="shared" si="3"/>
        <v>24249.999999999996</v>
      </c>
      <c r="K73" s="1323">
        <v>227465</v>
      </c>
    </row>
    <row r="74" spans="2:11" hidden="1">
      <c r="B74" s="1330">
        <v>43935</v>
      </c>
      <c r="C74" s="1331" t="s">
        <v>318</v>
      </c>
      <c r="D74" s="1332" t="s">
        <v>1046</v>
      </c>
      <c r="E74" s="1333" t="s">
        <v>1608</v>
      </c>
      <c r="F74" s="1332" t="s">
        <v>1609</v>
      </c>
      <c r="G74" s="1334">
        <v>8803</v>
      </c>
      <c r="H74" s="1335">
        <v>226353</v>
      </c>
      <c r="I74" s="1323">
        <f t="shared" si="2"/>
        <v>8.8030000000000008</v>
      </c>
      <c r="J74" s="1323">
        <f t="shared" si="3"/>
        <v>22958.224468931043</v>
      </c>
      <c r="K74" s="1323">
        <v>202101.25</v>
      </c>
    </row>
    <row r="75" spans="2:11" hidden="1">
      <c r="B75" s="1330">
        <v>43935</v>
      </c>
      <c r="C75" s="1331" t="s">
        <v>244</v>
      </c>
      <c r="D75" s="1332" t="s">
        <v>1046</v>
      </c>
      <c r="E75" s="1333" t="s">
        <v>1610</v>
      </c>
      <c r="F75" s="1332" t="s">
        <v>1611</v>
      </c>
      <c r="G75" s="1334">
        <v>2088</v>
      </c>
      <c r="H75" s="1335">
        <v>55540</v>
      </c>
      <c r="I75" s="1323">
        <f t="shared" si="2"/>
        <v>2.0880000000000001</v>
      </c>
      <c r="J75" s="1323">
        <f t="shared" si="3"/>
        <v>23750</v>
      </c>
      <c r="K75" s="1323">
        <v>49590</v>
      </c>
    </row>
    <row r="76" spans="2:11" hidden="1">
      <c r="B76" s="1330">
        <v>43935</v>
      </c>
      <c r="C76" s="1331" t="s">
        <v>68</v>
      </c>
      <c r="D76" s="1332" t="s">
        <v>1046</v>
      </c>
      <c r="E76" s="1333" t="s">
        <v>1612</v>
      </c>
      <c r="F76" s="1332" t="s">
        <v>1613</v>
      </c>
      <c r="G76" s="1334">
        <v>5352</v>
      </c>
      <c r="H76" s="1335">
        <v>136356</v>
      </c>
      <c r="I76" s="1323">
        <f t="shared" si="2"/>
        <v>5.3520000000000003</v>
      </c>
      <c r="J76" s="1323">
        <f t="shared" si="3"/>
        <v>22747.75784753363</v>
      </c>
      <c r="K76" s="1323">
        <v>121746</v>
      </c>
    </row>
    <row r="77" spans="2:11" hidden="1">
      <c r="B77" s="1330">
        <v>43936</v>
      </c>
      <c r="C77" s="1331" t="s">
        <v>318</v>
      </c>
      <c r="D77" s="1332" t="s">
        <v>1046</v>
      </c>
      <c r="E77" s="1333" t="s">
        <v>1614</v>
      </c>
      <c r="F77" s="1332" t="s">
        <v>1615</v>
      </c>
      <c r="G77" s="1334">
        <v>3978</v>
      </c>
      <c r="H77" s="1335">
        <v>99704</v>
      </c>
      <c r="I77" s="1323">
        <f t="shared" si="2"/>
        <v>3.9780000000000002</v>
      </c>
      <c r="J77" s="1323">
        <f t="shared" si="3"/>
        <v>22378.582202111611</v>
      </c>
      <c r="K77" s="1323">
        <v>89022</v>
      </c>
    </row>
    <row r="78" spans="2:11" hidden="1">
      <c r="B78" s="1330">
        <v>43938</v>
      </c>
      <c r="C78" s="1331" t="s">
        <v>1616</v>
      </c>
      <c r="D78" s="1332" t="s">
        <v>1046</v>
      </c>
      <c r="E78" s="1333" t="s">
        <v>1617</v>
      </c>
      <c r="F78" s="1332" t="s">
        <v>1592</v>
      </c>
      <c r="G78" s="1334">
        <v>9714</v>
      </c>
      <c r="H78" s="1335">
        <v>244793</v>
      </c>
      <c r="I78" s="1323">
        <f t="shared" si="2"/>
        <v>9.7140000000000004</v>
      </c>
      <c r="J78" s="1323">
        <f t="shared" si="3"/>
        <v>22500</v>
      </c>
      <c r="K78" s="1323">
        <v>218565</v>
      </c>
    </row>
    <row r="79" spans="2:11" hidden="1">
      <c r="B79" s="1330">
        <v>43942</v>
      </c>
      <c r="C79" s="1331" t="s">
        <v>417</v>
      </c>
      <c r="D79" s="1332" t="s">
        <v>1046</v>
      </c>
      <c r="E79" s="1333" t="s">
        <v>1618</v>
      </c>
      <c r="F79" s="1332" t="s">
        <v>1619</v>
      </c>
      <c r="G79" s="1334">
        <v>16630</v>
      </c>
      <c r="H79" s="1335">
        <v>372512</v>
      </c>
      <c r="I79" s="1323">
        <f t="shared" si="2"/>
        <v>16.63</v>
      </c>
      <c r="J79" s="1323">
        <f t="shared" si="3"/>
        <v>20000</v>
      </c>
      <c r="K79" s="1323">
        <v>332600</v>
      </c>
    </row>
    <row r="80" spans="2:11" hidden="1">
      <c r="B80" s="1330">
        <v>43943</v>
      </c>
      <c r="C80" s="1331" t="s">
        <v>417</v>
      </c>
      <c r="D80" s="1332" t="s">
        <v>1046</v>
      </c>
      <c r="E80" s="1333" t="s">
        <v>1620</v>
      </c>
      <c r="F80" s="1332" t="s">
        <v>1602</v>
      </c>
      <c r="G80" s="1334">
        <v>16541</v>
      </c>
      <c r="H80" s="1335">
        <v>370518</v>
      </c>
      <c r="I80" s="1323">
        <f t="shared" si="2"/>
        <v>16.541</v>
      </c>
      <c r="J80" s="1323">
        <f t="shared" si="3"/>
        <v>20000</v>
      </c>
      <c r="K80" s="1323">
        <v>330820</v>
      </c>
    </row>
    <row r="81" spans="2:11" hidden="1">
      <c r="B81" s="1330">
        <v>43943</v>
      </c>
      <c r="C81" s="1331" t="s">
        <v>255</v>
      </c>
      <c r="D81" s="1332" t="s">
        <v>1046</v>
      </c>
      <c r="E81" s="1333" t="s">
        <v>1621</v>
      </c>
      <c r="F81" s="1332" t="s">
        <v>1622</v>
      </c>
      <c r="G81" s="1334">
        <v>16324</v>
      </c>
      <c r="H81" s="1335">
        <v>380508</v>
      </c>
      <c r="I81" s="1323">
        <f t="shared" si="2"/>
        <v>16.324000000000002</v>
      </c>
      <c r="J81" s="1323">
        <f t="shared" si="3"/>
        <v>20812.239647145307</v>
      </c>
      <c r="K81" s="1323">
        <v>339739</v>
      </c>
    </row>
    <row r="82" spans="2:11" hidden="1">
      <c r="B82" s="1330">
        <v>43943</v>
      </c>
      <c r="C82" s="1331" t="s">
        <v>417</v>
      </c>
      <c r="D82" s="1332" t="s">
        <v>1046</v>
      </c>
      <c r="E82" s="1333" t="s">
        <v>1623</v>
      </c>
      <c r="F82" s="1332" t="s">
        <v>1610</v>
      </c>
      <c r="G82" s="1334">
        <v>15840</v>
      </c>
      <c r="H82" s="1335">
        <v>354816</v>
      </c>
      <c r="I82" s="1323">
        <f t="shared" si="2"/>
        <v>15.84</v>
      </c>
      <c r="J82" s="1323">
        <f t="shared" si="3"/>
        <v>20000</v>
      </c>
      <c r="K82" s="1323">
        <v>316800</v>
      </c>
    </row>
    <row r="83" spans="2:11" hidden="1">
      <c r="B83" s="1330">
        <v>43943</v>
      </c>
      <c r="C83" s="1331" t="s">
        <v>265</v>
      </c>
      <c r="D83" s="1332" t="s">
        <v>1046</v>
      </c>
      <c r="E83" s="1333" t="s">
        <v>1622</v>
      </c>
      <c r="F83" s="1332" t="s">
        <v>1624</v>
      </c>
      <c r="G83" s="1334">
        <v>21979</v>
      </c>
      <c r="H83" s="1335">
        <v>553872</v>
      </c>
      <c r="I83" s="1323">
        <f t="shared" si="2"/>
        <v>21.978999999999999</v>
      </c>
      <c r="J83" s="1323">
        <f t="shared" si="3"/>
        <v>22500</v>
      </c>
      <c r="K83" s="1323">
        <v>494527.5</v>
      </c>
    </row>
    <row r="84" spans="2:11" hidden="1">
      <c r="B84" s="1330">
        <v>43943</v>
      </c>
      <c r="C84" s="1331" t="s">
        <v>417</v>
      </c>
      <c r="D84" s="1332" t="s">
        <v>1046</v>
      </c>
      <c r="E84" s="1333" t="s">
        <v>1625</v>
      </c>
      <c r="F84" s="1332" t="s">
        <v>1626</v>
      </c>
      <c r="G84" s="1334">
        <v>16643</v>
      </c>
      <c r="H84" s="1335">
        <v>380816</v>
      </c>
      <c r="I84" s="1323">
        <f t="shared" si="2"/>
        <v>16.643000000000001</v>
      </c>
      <c r="J84" s="1323">
        <f t="shared" si="3"/>
        <v>20429.850387550319</v>
      </c>
      <c r="K84" s="1323">
        <v>340014</v>
      </c>
    </row>
    <row r="85" spans="2:11" hidden="1">
      <c r="B85" s="1330">
        <v>43943</v>
      </c>
      <c r="C85" s="1331" t="s">
        <v>265</v>
      </c>
      <c r="D85" s="1332" t="s">
        <v>1046</v>
      </c>
      <c r="E85" s="1333" t="s">
        <v>1627</v>
      </c>
      <c r="F85" s="1332" t="s">
        <v>1628</v>
      </c>
      <c r="G85" s="1334">
        <v>21142</v>
      </c>
      <c r="H85" s="1335">
        <v>552948</v>
      </c>
      <c r="I85" s="1323">
        <f t="shared" si="2"/>
        <v>21.141999999999999</v>
      </c>
      <c r="J85" s="1323">
        <f t="shared" si="3"/>
        <v>23351.811559928105</v>
      </c>
      <c r="K85" s="1323">
        <v>493704</v>
      </c>
    </row>
    <row r="86" spans="2:11" hidden="1">
      <c r="B86" s="1330">
        <v>43943</v>
      </c>
      <c r="C86" s="1331" t="s">
        <v>417</v>
      </c>
      <c r="D86" s="1332" t="s">
        <v>1046</v>
      </c>
      <c r="E86" s="1333" t="s">
        <v>1629</v>
      </c>
      <c r="F86" s="1332" t="s">
        <v>1630</v>
      </c>
      <c r="G86" s="1334">
        <v>15665</v>
      </c>
      <c r="H86" s="1335">
        <v>368441</v>
      </c>
      <c r="I86" s="1323">
        <f t="shared" si="2"/>
        <v>15.664999999999999</v>
      </c>
      <c r="J86" s="1323">
        <f t="shared" si="3"/>
        <v>21000</v>
      </c>
      <c r="K86" s="1323">
        <v>328965</v>
      </c>
    </row>
    <row r="87" spans="2:11" hidden="1">
      <c r="B87" s="1330">
        <v>43943</v>
      </c>
      <c r="C87" s="1331" t="s">
        <v>417</v>
      </c>
      <c r="D87" s="1332" t="s">
        <v>1046</v>
      </c>
      <c r="E87" s="1333" t="s">
        <v>1631</v>
      </c>
      <c r="F87" s="1332" t="s">
        <v>1632</v>
      </c>
      <c r="G87" s="1334">
        <v>16452</v>
      </c>
      <c r="H87" s="1335">
        <v>411686</v>
      </c>
      <c r="I87" s="1323">
        <f t="shared" si="2"/>
        <v>16.452000000000002</v>
      </c>
      <c r="J87" s="1323">
        <f t="shared" si="3"/>
        <v>22342.317043520543</v>
      </c>
      <c r="K87" s="1323">
        <v>367575.8</v>
      </c>
    </row>
    <row r="88" spans="2:11" hidden="1">
      <c r="B88" s="1330">
        <v>43944</v>
      </c>
      <c r="C88" s="1331" t="s">
        <v>1633</v>
      </c>
      <c r="D88" s="1332" t="s">
        <v>1046</v>
      </c>
      <c r="E88" s="1333" t="s">
        <v>1634</v>
      </c>
      <c r="F88" s="1332" t="s">
        <v>1635</v>
      </c>
      <c r="G88" s="1334">
        <v>23178</v>
      </c>
      <c r="H88" s="1335">
        <v>715961</v>
      </c>
      <c r="I88" s="1323">
        <f t="shared" si="2"/>
        <v>23.178000000000001</v>
      </c>
      <c r="J88" s="1323">
        <f t="shared" si="3"/>
        <v>27580.054361894898</v>
      </c>
      <c r="K88" s="1323">
        <v>639250.5</v>
      </c>
    </row>
    <row r="89" spans="2:11" hidden="1">
      <c r="B89" s="1330">
        <v>43944</v>
      </c>
      <c r="C89" s="1331" t="s">
        <v>518</v>
      </c>
      <c r="D89" s="1332" t="s">
        <v>1046</v>
      </c>
      <c r="E89" s="1333" t="s">
        <v>1636</v>
      </c>
      <c r="F89" s="1332" t="s">
        <v>1637</v>
      </c>
      <c r="G89" s="1334">
        <v>18476</v>
      </c>
      <c r="H89" s="1335">
        <v>430670</v>
      </c>
      <c r="I89" s="1323">
        <f t="shared" si="2"/>
        <v>18.475999999999999</v>
      </c>
      <c r="J89" s="1323">
        <f t="shared" si="3"/>
        <v>20812.24290972072</v>
      </c>
      <c r="K89" s="1323">
        <v>384527</v>
      </c>
    </row>
    <row r="90" spans="2:11" hidden="1">
      <c r="B90" s="1330">
        <v>43944</v>
      </c>
      <c r="C90" s="1331" t="s">
        <v>316</v>
      </c>
      <c r="D90" s="1332" t="s">
        <v>1046</v>
      </c>
      <c r="E90" s="1333" t="s">
        <v>1638</v>
      </c>
      <c r="F90" s="1332" t="s">
        <v>1639</v>
      </c>
      <c r="G90" s="1334">
        <v>18013</v>
      </c>
      <c r="H90" s="1335">
        <v>512893</v>
      </c>
      <c r="I90" s="1323">
        <f t="shared" si="2"/>
        <v>18.013000000000002</v>
      </c>
      <c r="J90" s="1323">
        <f t="shared" si="3"/>
        <v>25422.791872536498</v>
      </c>
      <c r="K90" s="1323">
        <v>457940.75</v>
      </c>
    </row>
    <row r="91" spans="2:11" hidden="1">
      <c r="B91" s="1330">
        <v>43945</v>
      </c>
      <c r="C91" s="1331" t="s">
        <v>201</v>
      </c>
      <c r="D91" s="1332" t="s">
        <v>1046</v>
      </c>
      <c r="E91" s="1333" t="s">
        <v>1640</v>
      </c>
      <c r="F91" s="1332" t="s">
        <v>1641</v>
      </c>
      <c r="G91" s="1334">
        <v>8318</v>
      </c>
      <c r="H91" s="1335">
        <v>226422</v>
      </c>
      <c r="I91" s="1323">
        <f t="shared" si="2"/>
        <v>8.3179999999999996</v>
      </c>
      <c r="J91" s="1323">
        <f t="shared" si="3"/>
        <v>24250</v>
      </c>
      <c r="K91" s="1323">
        <v>201711.5</v>
      </c>
    </row>
    <row r="92" spans="2:11" hidden="1">
      <c r="B92" s="1330">
        <v>43945</v>
      </c>
      <c r="C92" s="1331" t="s">
        <v>265</v>
      </c>
      <c r="D92" s="1332" t="s">
        <v>1046</v>
      </c>
      <c r="E92" s="1333" t="s">
        <v>1642</v>
      </c>
      <c r="F92" s="1332" t="s">
        <v>1634</v>
      </c>
      <c r="G92" s="1334">
        <v>22981</v>
      </c>
      <c r="H92" s="1335">
        <v>669206</v>
      </c>
      <c r="I92" s="1323">
        <f t="shared" si="2"/>
        <v>22.981000000000002</v>
      </c>
      <c r="J92" s="1323">
        <f t="shared" si="3"/>
        <v>25999.999999999996</v>
      </c>
      <c r="K92" s="1323">
        <v>597506</v>
      </c>
    </row>
    <row r="93" spans="2:11" hidden="1">
      <c r="B93" s="1330">
        <v>43945</v>
      </c>
      <c r="C93" s="1331" t="s">
        <v>1643</v>
      </c>
      <c r="D93" s="1332" t="s">
        <v>1046</v>
      </c>
      <c r="E93" s="1333" t="s">
        <v>1644</v>
      </c>
      <c r="F93" s="1332" t="s">
        <v>1623</v>
      </c>
      <c r="G93" s="1334">
        <v>21166</v>
      </c>
      <c r="H93" s="1335">
        <v>558760</v>
      </c>
      <c r="I93" s="1323">
        <f t="shared" si="2"/>
        <v>21.166</v>
      </c>
      <c r="J93" s="1323">
        <f t="shared" si="3"/>
        <v>23570.490409146743</v>
      </c>
      <c r="K93" s="1323">
        <v>498893</v>
      </c>
    </row>
    <row r="94" spans="2:11" hidden="1">
      <c r="B94" s="1330">
        <v>43945</v>
      </c>
      <c r="C94" s="1331" t="s">
        <v>417</v>
      </c>
      <c r="D94" s="1332" t="s">
        <v>1046</v>
      </c>
      <c r="E94" s="1333" t="s">
        <v>1645</v>
      </c>
      <c r="F94" s="1332" t="s">
        <v>1646</v>
      </c>
      <c r="G94" s="1334">
        <v>22753</v>
      </c>
      <c r="H94" s="1335">
        <v>637902</v>
      </c>
      <c r="I94" s="1323">
        <f t="shared" si="2"/>
        <v>22.753</v>
      </c>
      <c r="J94" s="1323">
        <f t="shared" si="3"/>
        <v>25032.105656396958</v>
      </c>
      <c r="K94" s="1323">
        <v>569555.5</v>
      </c>
    </row>
    <row r="95" spans="2:11" hidden="1">
      <c r="B95" s="1330">
        <v>43945</v>
      </c>
      <c r="C95" s="1331" t="s">
        <v>201</v>
      </c>
      <c r="D95" s="1332" t="s">
        <v>1046</v>
      </c>
      <c r="E95" s="1333" t="s">
        <v>1639</v>
      </c>
      <c r="F95" s="1332" t="s">
        <v>1647</v>
      </c>
      <c r="G95" s="1334">
        <v>9147</v>
      </c>
      <c r="H95" s="1335">
        <v>252471</v>
      </c>
      <c r="I95" s="1323">
        <f t="shared" si="2"/>
        <v>9.1470000000000002</v>
      </c>
      <c r="J95" s="1323">
        <f t="shared" si="3"/>
        <v>24600</v>
      </c>
      <c r="K95" s="1323">
        <v>225016.2</v>
      </c>
    </row>
    <row r="96" spans="2:11" hidden="1">
      <c r="B96" s="1330">
        <v>43945</v>
      </c>
      <c r="C96" s="1331" t="s">
        <v>64</v>
      </c>
      <c r="D96" s="1332" t="s">
        <v>1046</v>
      </c>
      <c r="E96" s="1333" t="s">
        <v>1648</v>
      </c>
      <c r="F96" s="1332" t="s">
        <v>1649</v>
      </c>
      <c r="G96" s="1334">
        <v>7310</v>
      </c>
      <c r="H96" s="1335">
        <v>183489</v>
      </c>
      <c r="I96" s="1323">
        <f t="shared" si="2"/>
        <v>7.31</v>
      </c>
      <c r="J96" s="1323">
        <f t="shared" si="3"/>
        <v>22350</v>
      </c>
      <c r="K96" s="1323">
        <v>163378.5</v>
      </c>
    </row>
    <row r="97" spans="2:11" hidden="1">
      <c r="B97" s="1330">
        <v>43945</v>
      </c>
      <c r="C97" s="1331" t="s">
        <v>417</v>
      </c>
      <c r="D97" s="1332" t="s">
        <v>1046</v>
      </c>
      <c r="E97" s="1333" t="s">
        <v>1650</v>
      </c>
      <c r="F97" s="1332" t="s">
        <v>1651</v>
      </c>
      <c r="G97" s="1334">
        <v>22688</v>
      </c>
      <c r="H97" s="1335">
        <v>643921</v>
      </c>
      <c r="I97" s="1323">
        <f t="shared" si="2"/>
        <v>22.687999999999999</v>
      </c>
      <c r="J97" s="1323">
        <f t="shared" si="3"/>
        <v>25340.664668547251</v>
      </c>
      <c r="K97" s="1323">
        <v>574929</v>
      </c>
    </row>
    <row r="98" spans="2:11" hidden="1">
      <c r="B98" s="1330">
        <v>43945</v>
      </c>
      <c r="C98" s="1331" t="s">
        <v>417</v>
      </c>
      <c r="D98" s="1332" t="s">
        <v>1046</v>
      </c>
      <c r="E98" s="1333" t="s">
        <v>1652</v>
      </c>
      <c r="F98" s="1332" t="s">
        <v>1651</v>
      </c>
      <c r="G98" s="1334">
        <v>18831</v>
      </c>
      <c r="H98" s="1335">
        <v>529822</v>
      </c>
      <c r="I98" s="1323">
        <f t="shared" si="2"/>
        <v>18.831</v>
      </c>
      <c r="J98" s="1323">
        <f t="shared" si="3"/>
        <v>25121.103499548619</v>
      </c>
      <c r="K98" s="1323">
        <v>473055.5</v>
      </c>
    </row>
    <row r="99" spans="2:11" hidden="1">
      <c r="B99" s="1330">
        <v>43946</v>
      </c>
      <c r="C99" s="1331" t="s">
        <v>244</v>
      </c>
      <c r="D99" s="1332" t="s">
        <v>1046</v>
      </c>
      <c r="E99" s="1333" t="s">
        <v>1653</v>
      </c>
      <c r="F99" s="1332" t="s">
        <v>1650</v>
      </c>
      <c r="G99" s="1334">
        <v>1611</v>
      </c>
      <c r="H99" s="1335">
        <v>44656</v>
      </c>
      <c r="I99" s="1323">
        <f t="shared" si="2"/>
        <v>1.611</v>
      </c>
      <c r="J99" s="1323">
        <f t="shared" si="3"/>
        <v>24750</v>
      </c>
      <c r="K99" s="1323">
        <v>39872.25</v>
      </c>
    </row>
    <row r="100" spans="2:11" hidden="1">
      <c r="B100" s="1330">
        <v>43946</v>
      </c>
      <c r="C100" s="1331" t="s">
        <v>417</v>
      </c>
      <c r="D100" s="1332" t="s">
        <v>1046</v>
      </c>
      <c r="E100" s="1333" t="s">
        <v>1654</v>
      </c>
      <c r="F100" s="1332" t="s">
        <v>1655</v>
      </c>
      <c r="G100" s="1334">
        <v>18313</v>
      </c>
      <c r="H100" s="1335">
        <v>504017</v>
      </c>
      <c r="I100" s="1323">
        <f t="shared" si="2"/>
        <v>18.312999999999999</v>
      </c>
      <c r="J100" s="1323">
        <f t="shared" si="3"/>
        <v>24573.499699666903</v>
      </c>
      <c r="K100" s="1323">
        <v>450014.5</v>
      </c>
    </row>
    <row r="101" spans="2:11" hidden="1">
      <c r="B101" s="1330">
        <v>43946</v>
      </c>
      <c r="C101" s="1331" t="s">
        <v>201</v>
      </c>
      <c r="D101" s="1332" t="s">
        <v>1046</v>
      </c>
      <c r="E101" s="1333" t="s">
        <v>1656</v>
      </c>
      <c r="F101" s="1332" t="s">
        <v>1657</v>
      </c>
      <c r="G101" s="1334">
        <v>8901</v>
      </c>
      <c r="H101" s="1335">
        <v>245796</v>
      </c>
      <c r="I101" s="1323">
        <f t="shared" si="2"/>
        <v>8.9009999999999998</v>
      </c>
      <c r="J101" s="1323">
        <f t="shared" si="3"/>
        <v>24600</v>
      </c>
      <c r="K101" s="1323">
        <v>218964.6</v>
      </c>
    </row>
    <row r="102" spans="2:11" hidden="1">
      <c r="B102" s="1330">
        <v>43946</v>
      </c>
      <c r="C102" s="1331" t="s">
        <v>344</v>
      </c>
      <c r="D102" s="1332" t="s">
        <v>1046</v>
      </c>
      <c r="E102" s="1333" t="s">
        <v>1658</v>
      </c>
      <c r="F102" s="1332" t="s">
        <v>1659</v>
      </c>
      <c r="G102" s="1334">
        <v>2917</v>
      </c>
      <c r="H102" s="1335">
        <v>80860</v>
      </c>
      <c r="I102" s="1323">
        <f t="shared" si="2"/>
        <v>2.9169999999999998</v>
      </c>
      <c r="J102" s="1323">
        <f t="shared" si="3"/>
        <v>24750</v>
      </c>
      <c r="K102" s="1323">
        <v>72195.75</v>
      </c>
    </row>
    <row r="103" spans="2:11" hidden="1">
      <c r="B103" s="1330">
        <v>43946</v>
      </c>
      <c r="C103" s="1331" t="s">
        <v>344</v>
      </c>
      <c r="D103" s="1332" t="s">
        <v>1046</v>
      </c>
      <c r="E103" s="1333" t="s">
        <v>1660</v>
      </c>
      <c r="F103" s="1332" t="s">
        <v>1661</v>
      </c>
      <c r="G103" s="1334">
        <v>5741</v>
      </c>
      <c r="H103" s="1335">
        <v>158642</v>
      </c>
      <c r="I103" s="1323">
        <f t="shared" si="2"/>
        <v>5.7409999999999997</v>
      </c>
      <c r="J103" s="1323">
        <f t="shared" si="3"/>
        <v>24672.313185856125</v>
      </c>
      <c r="K103" s="1323">
        <v>141643.75</v>
      </c>
    </row>
    <row r="104" spans="2:11" hidden="1">
      <c r="B104" s="1330">
        <v>43946</v>
      </c>
      <c r="C104" s="1331" t="s">
        <v>265</v>
      </c>
      <c r="D104" s="1332" t="s">
        <v>1046</v>
      </c>
      <c r="E104" s="1333" t="s">
        <v>1662</v>
      </c>
      <c r="F104" s="1332" t="s">
        <v>1663</v>
      </c>
      <c r="G104" s="1334">
        <v>20392</v>
      </c>
      <c r="H104" s="1335">
        <v>593816</v>
      </c>
      <c r="I104" s="1323">
        <f t="shared" si="2"/>
        <v>20.391999999999999</v>
      </c>
      <c r="J104" s="1323">
        <f t="shared" si="3"/>
        <v>26000</v>
      </c>
      <c r="K104" s="1323">
        <v>530192</v>
      </c>
    </row>
    <row r="105" spans="2:11" hidden="1">
      <c r="B105" s="1330">
        <v>43946</v>
      </c>
      <c r="C105" s="1331" t="s">
        <v>201</v>
      </c>
      <c r="D105" s="1332" t="s">
        <v>1046</v>
      </c>
      <c r="E105" s="1333" t="s">
        <v>1664</v>
      </c>
      <c r="F105" s="1332" t="s">
        <v>1665</v>
      </c>
      <c r="G105" s="1334">
        <v>7971</v>
      </c>
      <c r="H105" s="1335">
        <v>216946</v>
      </c>
      <c r="I105" s="1323">
        <f t="shared" si="2"/>
        <v>7.9710000000000001</v>
      </c>
      <c r="J105" s="1323">
        <f t="shared" si="3"/>
        <v>24250</v>
      </c>
      <c r="K105" s="1323">
        <v>193296.75</v>
      </c>
    </row>
    <row r="106" spans="2:11" hidden="1">
      <c r="B106" s="1330">
        <v>43946</v>
      </c>
      <c r="C106" s="1331" t="s">
        <v>417</v>
      </c>
      <c r="D106" s="1332" t="s">
        <v>1046</v>
      </c>
      <c r="E106" s="1333" t="s">
        <v>1666</v>
      </c>
      <c r="F106" s="1332" t="s">
        <v>1667</v>
      </c>
      <c r="G106" s="1334">
        <v>9820</v>
      </c>
      <c r="H106" s="1335">
        <v>219968</v>
      </c>
      <c r="I106" s="1323">
        <f t="shared" si="2"/>
        <v>9.82</v>
      </c>
      <c r="J106" s="1323">
        <f t="shared" si="3"/>
        <v>20000</v>
      </c>
      <c r="K106" s="1323">
        <v>196400</v>
      </c>
    </row>
    <row r="107" spans="2:11" hidden="1">
      <c r="B107" s="1330">
        <v>43946</v>
      </c>
      <c r="C107" s="1331" t="s">
        <v>417</v>
      </c>
      <c r="D107" s="1332" t="s">
        <v>1046</v>
      </c>
      <c r="E107" s="1333" t="s">
        <v>1668</v>
      </c>
      <c r="F107" s="1332" t="s">
        <v>1669</v>
      </c>
      <c r="G107" s="1334">
        <v>6296</v>
      </c>
      <c r="H107" s="1335">
        <v>148082</v>
      </c>
      <c r="I107" s="1323">
        <f t="shared" si="2"/>
        <v>6.2960000000000003</v>
      </c>
      <c r="J107" s="1323">
        <f t="shared" si="3"/>
        <v>21000</v>
      </c>
      <c r="K107" s="1323">
        <v>132216</v>
      </c>
    </row>
    <row r="108" spans="2:11" hidden="1">
      <c r="B108" s="1330">
        <v>43946</v>
      </c>
      <c r="C108" s="1331" t="s">
        <v>417</v>
      </c>
      <c r="D108" s="1332" t="s">
        <v>1046</v>
      </c>
      <c r="E108" s="1333" t="s">
        <v>1670</v>
      </c>
      <c r="F108" s="1332" t="s">
        <v>1671</v>
      </c>
      <c r="G108" s="1334">
        <v>16740</v>
      </c>
      <c r="H108" s="1335">
        <v>393724</v>
      </c>
      <c r="I108" s="1323">
        <f t="shared" si="2"/>
        <v>16.739999999999998</v>
      </c>
      <c r="J108" s="1323">
        <f t="shared" si="3"/>
        <v>21000.000000000004</v>
      </c>
      <c r="K108" s="1323">
        <v>351540</v>
      </c>
    </row>
    <row r="109" spans="2:11" hidden="1">
      <c r="B109" s="1330">
        <v>43946</v>
      </c>
      <c r="C109" s="1331" t="s">
        <v>1633</v>
      </c>
      <c r="D109" s="1332" t="s">
        <v>1046</v>
      </c>
      <c r="E109" s="1333" t="s">
        <v>1672</v>
      </c>
      <c r="F109" s="1332" t="s">
        <v>1673</v>
      </c>
      <c r="G109" s="1334">
        <v>25801</v>
      </c>
      <c r="H109" s="1335">
        <v>797361</v>
      </c>
      <c r="I109" s="1323">
        <f t="shared" si="2"/>
        <v>25.800999999999998</v>
      </c>
      <c r="J109" s="1323">
        <f t="shared" si="3"/>
        <v>27593.087477229565</v>
      </c>
      <c r="K109" s="1323">
        <v>711929.25</v>
      </c>
    </row>
    <row r="110" spans="2:11" hidden="1">
      <c r="B110" s="1330">
        <v>43947</v>
      </c>
      <c r="C110" s="1331" t="s">
        <v>201</v>
      </c>
      <c r="D110" s="1332" t="s">
        <v>1046</v>
      </c>
      <c r="E110" s="1333" t="s">
        <v>1674</v>
      </c>
      <c r="F110" s="1332" t="s">
        <v>1675</v>
      </c>
      <c r="G110" s="1334">
        <v>9163</v>
      </c>
      <c r="H110" s="1335">
        <v>249371</v>
      </c>
      <c r="I110" s="1323">
        <f t="shared" si="2"/>
        <v>9.1630000000000003</v>
      </c>
      <c r="J110" s="1323">
        <f t="shared" si="3"/>
        <v>24250</v>
      </c>
      <c r="K110" s="1323">
        <v>222202.75</v>
      </c>
    </row>
    <row r="111" spans="2:11" hidden="1">
      <c r="B111" s="1330">
        <v>43947</v>
      </c>
      <c r="C111" s="1331" t="s">
        <v>417</v>
      </c>
      <c r="D111" s="1332" t="s">
        <v>1046</v>
      </c>
      <c r="E111" s="1333" t="s">
        <v>1676</v>
      </c>
      <c r="F111" s="1332" t="s">
        <v>1655</v>
      </c>
      <c r="G111" s="1334">
        <v>17941</v>
      </c>
      <c r="H111" s="1335">
        <v>495186</v>
      </c>
      <c r="I111" s="1323">
        <f t="shared" ref="I111:I146" si="4">+G111/1000</f>
        <v>17.940999999999999</v>
      </c>
      <c r="J111" s="1323">
        <f t="shared" ref="J111:J146" si="5">+K111/I111</f>
        <v>24643.526001895101</v>
      </c>
      <c r="K111" s="1323">
        <v>442129.5</v>
      </c>
    </row>
    <row r="112" spans="2:11" hidden="1">
      <c r="B112" s="1330">
        <v>43947</v>
      </c>
      <c r="C112" s="1331" t="s">
        <v>316</v>
      </c>
      <c r="D112" s="1332" t="s">
        <v>1046</v>
      </c>
      <c r="E112" s="1333" t="s">
        <v>1677</v>
      </c>
      <c r="F112" s="1332" t="s">
        <v>1668</v>
      </c>
      <c r="G112" s="1334">
        <v>8540</v>
      </c>
      <c r="H112" s="1335">
        <v>248125</v>
      </c>
      <c r="I112" s="1323">
        <f t="shared" si="4"/>
        <v>8.5399999999999991</v>
      </c>
      <c r="J112" s="1323">
        <f t="shared" si="5"/>
        <v>25941.569086651056</v>
      </c>
      <c r="K112" s="1323">
        <v>221541</v>
      </c>
    </row>
    <row r="113" spans="2:11" hidden="1">
      <c r="B113" s="1330">
        <v>43947</v>
      </c>
      <c r="C113" s="1331" t="s">
        <v>265</v>
      </c>
      <c r="D113" s="1332" t="s">
        <v>1046</v>
      </c>
      <c r="E113" s="1333" t="s">
        <v>1678</v>
      </c>
      <c r="F113" s="1332" t="s">
        <v>1679</v>
      </c>
      <c r="G113" s="1334">
        <v>23107</v>
      </c>
      <c r="H113" s="1335">
        <v>672876</v>
      </c>
      <c r="I113" s="1323">
        <f t="shared" si="4"/>
        <v>23.106999999999999</v>
      </c>
      <c r="J113" s="1323">
        <f t="shared" si="5"/>
        <v>26000</v>
      </c>
      <c r="K113" s="1323">
        <v>600782</v>
      </c>
    </row>
    <row r="114" spans="2:11" hidden="1">
      <c r="B114" s="1330">
        <v>43947</v>
      </c>
      <c r="C114" s="1331" t="s">
        <v>201</v>
      </c>
      <c r="D114" s="1332" t="s">
        <v>1046</v>
      </c>
      <c r="E114" s="1333" t="s">
        <v>1680</v>
      </c>
      <c r="F114" s="1332" t="s">
        <v>1681</v>
      </c>
      <c r="G114" s="1334">
        <v>21734</v>
      </c>
      <c r="H114" s="1335">
        <v>631542</v>
      </c>
      <c r="I114" s="1323">
        <f t="shared" si="4"/>
        <v>21.734000000000002</v>
      </c>
      <c r="J114" s="1323">
        <f t="shared" si="5"/>
        <v>25944.418882856353</v>
      </c>
      <c r="K114" s="1323">
        <v>563876</v>
      </c>
    </row>
    <row r="115" spans="2:11" hidden="1">
      <c r="B115" s="1330">
        <v>43947</v>
      </c>
      <c r="C115" s="1331" t="s">
        <v>255</v>
      </c>
      <c r="D115" s="1332" t="s">
        <v>1046</v>
      </c>
      <c r="E115" s="1333" t="s">
        <v>1682</v>
      </c>
      <c r="F115" s="1332" t="s">
        <v>1680</v>
      </c>
      <c r="G115" s="1334">
        <v>16803</v>
      </c>
      <c r="H115" s="1335">
        <v>391673</v>
      </c>
      <c r="I115" s="1323">
        <f t="shared" si="4"/>
        <v>16.803000000000001</v>
      </c>
      <c r="J115" s="1323">
        <f t="shared" si="5"/>
        <v>20812.250788549663</v>
      </c>
      <c r="K115" s="1323">
        <v>349708.25</v>
      </c>
    </row>
    <row r="116" spans="2:11" hidden="1">
      <c r="B116" s="1330">
        <v>43948</v>
      </c>
      <c r="C116" s="1331" t="s">
        <v>1633</v>
      </c>
      <c r="D116" s="1332" t="s">
        <v>1046</v>
      </c>
      <c r="E116" s="1333" t="s">
        <v>1683</v>
      </c>
      <c r="F116" s="1332" t="s">
        <v>1684</v>
      </c>
      <c r="G116" s="1334">
        <v>24587</v>
      </c>
      <c r="H116" s="1335">
        <v>759364</v>
      </c>
      <c r="I116" s="1323">
        <f t="shared" si="4"/>
        <v>24.587</v>
      </c>
      <c r="J116" s="1323">
        <f t="shared" si="5"/>
        <v>27575.700573473787</v>
      </c>
      <c r="K116" s="1323">
        <v>678003.75</v>
      </c>
    </row>
    <row r="117" spans="2:11" hidden="1">
      <c r="B117" s="1330">
        <v>43948</v>
      </c>
      <c r="C117" s="1331" t="s">
        <v>316</v>
      </c>
      <c r="D117" s="1332" t="s">
        <v>1046</v>
      </c>
      <c r="E117" s="1333" t="s">
        <v>1685</v>
      </c>
      <c r="F117" s="1332" t="s">
        <v>1686</v>
      </c>
      <c r="G117" s="1334">
        <v>3014</v>
      </c>
      <c r="H117" s="1335">
        <v>83549</v>
      </c>
      <c r="I117" s="1323">
        <f t="shared" si="4"/>
        <v>3.0139999999999998</v>
      </c>
      <c r="J117" s="1323">
        <f t="shared" si="5"/>
        <v>24750</v>
      </c>
      <c r="K117" s="1323">
        <v>74596.5</v>
      </c>
    </row>
    <row r="118" spans="2:11" hidden="1">
      <c r="B118" s="1330">
        <v>43948</v>
      </c>
      <c r="C118" s="1331" t="s">
        <v>68</v>
      </c>
      <c r="D118" s="1332" t="s">
        <v>1046</v>
      </c>
      <c r="E118" s="1333" t="s">
        <v>1687</v>
      </c>
      <c r="F118" s="1332" t="s">
        <v>1688</v>
      </c>
      <c r="G118" s="1334">
        <v>15701</v>
      </c>
      <c r="H118" s="1335">
        <v>461609</v>
      </c>
      <c r="I118" s="1323">
        <f t="shared" si="4"/>
        <v>15.701000000000001</v>
      </c>
      <c r="J118" s="1323">
        <f t="shared" si="5"/>
        <v>26250</v>
      </c>
      <c r="K118" s="1323">
        <v>412151.25</v>
      </c>
    </row>
    <row r="119" spans="2:11" hidden="1">
      <c r="B119" s="1330">
        <v>43948</v>
      </c>
      <c r="C119" s="1331" t="s">
        <v>201</v>
      </c>
      <c r="D119" s="1332" t="s">
        <v>1046</v>
      </c>
      <c r="E119" s="1333" t="s">
        <v>1689</v>
      </c>
      <c r="F119" s="1332" t="s">
        <v>1690</v>
      </c>
      <c r="G119" s="1334">
        <v>8865</v>
      </c>
      <c r="H119" s="1335">
        <v>244702</v>
      </c>
      <c r="I119" s="1323">
        <f t="shared" si="4"/>
        <v>8.8650000000000002</v>
      </c>
      <c r="J119" s="1323">
        <f t="shared" si="5"/>
        <v>24600</v>
      </c>
      <c r="K119" s="1323">
        <v>218079</v>
      </c>
    </row>
    <row r="120" spans="2:11" hidden="1">
      <c r="B120" s="1330">
        <v>43948</v>
      </c>
      <c r="C120" s="1331" t="s">
        <v>417</v>
      </c>
      <c r="D120" s="1332" t="s">
        <v>1046</v>
      </c>
      <c r="E120" s="1333" t="s">
        <v>1691</v>
      </c>
      <c r="F120" s="1332" t="s">
        <v>1692</v>
      </c>
      <c r="G120" s="1334">
        <v>18134</v>
      </c>
      <c r="H120" s="1335">
        <v>440011</v>
      </c>
      <c r="I120" s="1323">
        <f t="shared" si="4"/>
        <v>18.134</v>
      </c>
      <c r="J120" s="1323">
        <f t="shared" si="5"/>
        <v>21664.641005845373</v>
      </c>
      <c r="K120" s="1323">
        <v>392866.6</v>
      </c>
    </row>
    <row r="121" spans="2:11" hidden="1">
      <c r="B121" s="1330">
        <v>43948</v>
      </c>
      <c r="C121" s="1331" t="s">
        <v>316</v>
      </c>
      <c r="D121" s="1332" t="s">
        <v>1046</v>
      </c>
      <c r="E121" s="1333" t="s">
        <v>1693</v>
      </c>
      <c r="F121" s="1332" t="s">
        <v>1694</v>
      </c>
      <c r="G121" s="1334">
        <v>21325</v>
      </c>
      <c r="H121" s="1335">
        <v>543362</v>
      </c>
      <c r="I121" s="1323">
        <f t="shared" si="4"/>
        <v>21.324999999999999</v>
      </c>
      <c r="J121" s="1323">
        <f t="shared" si="5"/>
        <v>22750</v>
      </c>
      <c r="K121" s="1323">
        <v>485143.75</v>
      </c>
    </row>
    <row r="122" spans="2:11" hidden="1">
      <c r="B122" s="1330">
        <v>43948</v>
      </c>
      <c r="C122" s="1331" t="s">
        <v>64</v>
      </c>
      <c r="D122" s="1332" t="s">
        <v>1046</v>
      </c>
      <c r="E122" s="1333" t="s">
        <v>1695</v>
      </c>
      <c r="F122" s="1332" t="s">
        <v>1696</v>
      </c>
      <c r="G122" s="1334">
        <v>7884</v>
      </c>
      <c r="H122" s="1335">
        <v>211001</v>
      </c>
      <c r="I122" s="1323">
        <f t="shared" si="4"/>
        <v>7.8840000000000003</v>
      </c>
      <c r="J122" s="1323">
        <f t="shared" si="5"/>
        <v>23850</v>
      </c>
      <c r="K122" s="1323">
        <v>188033.4</v>
      </c>
    </row>
    <row r="123" spans="2:11" hidden="1">
      <c r="B123" s="1330">
        <v>43948</v>
      </c>
      <c r="C123" s="1331" t="s">
        <v>1633</v>
      </c>
      <c r="D123" s="1332" t="s">
        <v>1046</v>
      </c>
      <c r="E123" s="1333" t="s">
        <v>1697</v>
      </c>
      <c r="F123" s="1332" t="s">
        <v>1698</v>
      </c>
      <c r="G123" s="1334">
        <v>19042</v>
      </c>
      <c r="H123" s="1335">
        <v>588110</v>
      </c>
      <c r="I123" s="1323">
        <f t="shared" si="4"/>
        <v>19.042000000000002</v>
      </c>
      <c r="J123" s="1323">
        <f t="shared" si="5"/>
        <v>27575.753597311206</v>
      </c>
      <c r="K123" s="1323">
        <v>525097.5</v>
      </c>
    </row>
    <row r="124" spans="2:11" hidden="1">
      <c r="B124" s="1330">
        <v>43949</v>
      </c>
      <c r="C124" s="1331" t="s">
        <v>68</v>
      </c>
      <c r="D124" s="1332" t="s">
        <v>1046</v>
      </c>
      <c r="E124" s="1333" t="s">
        <v>1699</v>
      </c>
      <c r="F124" s="1332" t="s">
        <v>1677</v>
      </c>
      <c r="G124" s="1334">
        <v>5386</v>
      </c>
      <c r="H124" s="1335">
        <v>158349</v>
      </c>
      <c r="I124" s="1323">
        <f t="shared" si="4"/>
        <v>5.3860000000000001</v>
      </c>
      <c r="J124" s="1323">
        <f t="shared" si="5"/>
        <v>26250</v>
      </c>
      <c r="K124" s="1323">
        <v>141382.5</v>
      </c>
    </row>
    <row r="125" spans="2:11" hidden="1">
      <c r="B125" s="1330">
        <v>43949</v>
      </c>
      <c r="C125" s="1331" t="s">
        <v>201</v>
      </c>
      <c r="D125" s="1332" t="s">
        <v>1046</v>
      </c>
      <c r="E125" s="1333" t="s">
        <v>1700</v>
      </c>
      <c r="F125" s="1332" t="s">
        <v>1657</v>
      </c>
      <c r="G125" s="1334">
        <v>9130</v>
      </c>
      <c r="H125" s="1335">
        <v>252105</v>
      </c>
      <c r="I125" s="1323">
        <f t="shared" si="4"/>
        <v>9.1300000000000008</v>
      </c>
      <c r="J125" s="1323">
        <f t="shared" si="5"/>
        <v>24599.999999999996</v>
      </c>
      <c r="K125" s="1323">
        <v>224598</v>
      </c>
    </row>
    <row r="126" spans="2:11" hidden="1">
      <c r="B126" s="1330">
        <v>43949</v>
      </c>
      <c r="C126" s="1331" t="s">
        <v>417</v>
      </c>
      <c r="D126" s="1332" t="s">
        <v>1046</v>
      </c>
      <c r="E126" s="1333" t="s">
        <v>1701</v>
      </c>
      <c r="F126" s="1332" t="s">
        <v>1702</v>
      </c>
      <c r="G126" s="1334">
        <v>15965</v>
      </c>
      <c r="H126" s="1335">
        <v>375497</v>
      </c>
      <c r="I126" s="1323">
        <f t="shared" si="4"/>
        <v>15.965</v>
      </c>
      <c r="J126" s="1323">
        <f t="shared" si="5"/>
        <v>21000</v>
      </c>
      <c r="K126" s="1323">
        <v>335265</v>
      </c>
    </row>
    <row r="127" spans="2:11" hidden="1">
      <c r="B127" s="1330">
        <v>43949</v>
      </c>
      <c r="C127" s="1331" t="s">
        <v>201</v>
      </c>
      <c r="D127" s="1332" t="s">
        <v>1046</v>
      </c>
      <c r="E127" s="1333" t="s">
        <v>1703</v>
      </c>
      <c r="F127" s="1332" t="s">
        <v>1704</v>
      </c>
      <c r="G127" s="1334">
        <v>21613</v>
      </c>
      <c r="H127" s="1335">
        <v>623222</v>
      </c>
      <c r="I127" s="1323">
        <f t="shared" si="4"/>
        <v>21.613</v>
      </c>
      <c r="J127" s="1323">
        <f t="shared" si="5"/>
        <v>25745.963077777265</v>
      </c>
      <c r="K127" s="1323">
        <v>556447.5</v>
      </c>
    </row>
    <row r="128" spans="2:11" hidden="1">
      <c r="B128" s="1330">
        <v>43949</v>
      </c>
      <c r="C128" s="1331" t="s">
        <v>350</v>
      </c>
      <c r="D128" s="1332" t="s">
        <v>1046</v>
      </c>
      <c r="E128" s="1333" t="s">
        <v>1705</v>
      </c>
      <c r="F128" s="1332" t="s">
        <v>1693</v>
      </c>
      <c r="G128" s="1334">
        <v>11579</v>
      </c>
      <c r="H128" s="1335">
        <v>322577</v>
      </c>
      <c r="I128" s="1323">
        <f t="shared" si="4"/>
        <v>11.579000000000001</v>
      </c>
      <c r="J128" s="1323">
        <f t="shared" si="5"/>
        <v>27750</v>
      </c>
      <c r="K128" s="1323">
        <v>321317.25</v>
      </c>
    </row>
    <row r="129" spans="2:11" hidden="1">
      <c r="B129" s="1330">
        <v>43949</v>
      </c>
      <c r="C129" s="1331" t="s">
        <v>350</v>
      </c>
      <c r="D129" s="1332" t="s">
        <v>1046</v>
      </c>
      <c r="E129" s="1333" t="s">
        <v>1706</v>
      </c>
      <c r="F129" s="1332" t="s">
        <v>1693</v>
      </c>
      <c r="G129" s="1334">
        <v>7757</v>
      </c>
      <c r="H129" s="1335">
        <v>215887</v>
      </c>
      <c r="I129" s="1323">
        <f t="shared" si="4"/>
        <v>7.7569999999999997</v>
      </c>
      <c r="J129" s="1323">
        <f t="shared" si="5"/>
        <v>27750</v>
      </c>
      <c r="K129" s="1323">
        <v>215256.75</v>
      </c>
    </row>
    <row r="130" spans="2:11" hidden="1">
      <c r="B130" s="1330">
        <v>43949</v>
      </c>
      <c r="C130" s="1331" t="s">
        <v>64</v>
      </c>
      <c r="D130" s="1332" t="s">
        <v>1046</v>
      </c>
      <c r="E130" s="1333" t="s">
        <v>1707</v>
      </c>
      <c r="F130" s="1332" t="s">
        <v>1708</v>
      </c>
      <c r="G130" s="1334">
        <v>8257</v>
      </c>
      <c r="H130" s="1335">
        <v>221014</v>
      </c>
      <c r="I130" s="1323">
        <f t="shared" si="4"/>
        <v>8.2569999999999997</v>
      </c>
      <c r="J130" s="1323">
        <f t="shared" si="5"/>
        <v>23850.000000000004</v>
      </c>
      <c r="K130" s="1323">
        <v>196929.45</v>
      </c>
    </row>
    <row r="131" spans="2:11" hidden="1">
      <c r="B131" s="1330">
        <v>43949</v>
      </c>
      <c r="C131" s="1331" t="s">
        <v>1643</v>
      </c>
      <c r="D131" s="1332" t="s">
        <v>1046</v>
      </c>
      <c r="E131" s="1333" t="s">
        <v>1709</v>
      </c>
      <c r="F131" s="1332" t="s">
        <v>1674</v>
      </c>
      <c r="G131" s="1334">
        <v>10525</v>
      </c>
      <c r="H131" s="1335">
        <v>283761</v>
      </c>
      <c r="I131" s="1323">
        <f t="shared" si="4"/>
        <v>10.525</v>
      </c>
      <c r="J131" s="1323">
        <f t="shared" si="5"/>
        <v>24072.019002375295</v>
      </c>
      <c r="K131" s="1323">
        <v>253358</v>
      </c>
    </row>
    <row r="132" spans="2:11" hidden="1">
      <c r="B132" s="1330">
        <v>43949</v>
      </c>
      <c r="C132" s="1331" t="s">
        <v>1643</v>
      </c>
      <c r="D132" s="1332" t="s">
        <v>1046</v>
      </c>
      <c r="E132" s="1333" t="s">
        <v>1710</v>
      </c>
      <c r="F132" s="1332" t="s">
        <v>1676</v>
      </c>
      <c r="G132" s="1334">
        <v>12382</v>
      </c>
      <c r="H132" s="1335">
        <v>327181</v>
      </c>
      <c r="I132" s="1323">
        <f t="shared" si="4"/>
        <v>12.382</v>
      </c>
      <c r="J132" s="1323">
        <f t="shared" si="5"/>
        <v>23592.795994185108</v>
      </c>
      <c r="K132" s="1323">
        <v>292126</v>
      </c>
    </row>
    <row r="133" spans="2:11" hidden="1">
      <c r="B133" s="1330">
        <v>43950</v>
      </c>
      <c r="C133" s="1331" t="s">
        <v>265</v>
      </c>
      <c r="D133" s="1332" t="s">
        <v>1046</v>
      </c>
      <c r="E133" s="1333" t="s">
        <v>1711</v>
      </c>
      <c r="F133" s="1332" t="s">
        <v>1689</v>
      </c>
      <c r="G133" s="1334">
        <v>18883</v>
      </c>
      <c r="H133" s="1335">
        <v>562413</v>
      </c>
      <c r="I133" s="1323">
        <f t="shared" si="4"/>
        <v>18.882999999999999</v>
      </c>
      <c r="J133" s="1323">
        <f t="shared" si="5"/>
        <v>26500</v>
      </c>
      <c r="K133" s="1323">
        <v>500399.5</v>
      </c>
    </row>
    <row r="134" spans="2:11" hidden="1">
      <c r="B134" s="1330">
        <v>43950</v>
      </c>
      <c r="C134" s="1331" t="s">
        <v>417</v>
      </c>
      <c r="D134" s="1332" t="s">
        <v>1046</v>
      </c>
      <c r="E134" s="1333" t="s">
        <v>1712</v>
      </c>
      <c r="F134" s="1332" t="s">
        <v>1687</v>
      </c>
      <c r="G134" s="1334">
        <v>16166</v>
      </c>
      <c r="H134" s="1335">
        <v>380224</v>
      </c>
      <c r="I134" s="1323">
        <f t="shared" si="4"/>
        <v>16.166</v>
      </c>
      <c r="J134" s="1323">
        <f t="shared" si="5"/>
        <v>21000</v>
      </c>
      <c r="K134" s="1323">
        <v>339486</v>
      </c>
    </row>
    <row r="135" spans="2:11" hidden="1">
      <c r="B135" s="1330">
        <v>43950</v>
      </c>
      <c r="C135" s="1331" t="s">
        <v>244</v>
      </c>
      <c r="D135" s="1332" t="s">
        <v>1046</v>
      </c>
      <c r="E135" s="1333" t="s">
        <v>1713</v>
      </c>
      <c r="F135" s="1332" t="s">
        <v>1650</v>
      </c>
      <c r="G135" s="1334">
        <v>2202</v>
      </c>
      <c r="H135" s="1335">
        <v>61040</v>
      </c>
      <c r="I135" s="1323">
        <f t="shared" si="4"/>
        <v>2.202</v>
      </c>
      <c r="J135" s="1323">
        <f t="shared" si="5"/>
        <v>24750</v>
      </c>
      <c r="K135" s="1323">
        <v>54499.5</v>
      </c>
    </row>
    <row r="136" spans="2:11" hidden="1">
      <c r="B136" s="1330">
        <v>43950</v>
      </c>
      <c r="C136" s="1331" t="s">
        <v>417</v>
      </c>
      <c r="D136" s="1332" t="s">
        <v>1046</v>
      </c>
      <c r="E136" s="1333" t="s">
        <v>1714</v>
      </c>
      <c r="F136" s="1332" t="s">
        <v>1695</v>
      </c>
      <c r="G136" s="1334">
        <v>17022</v>
      </c>
      <c r="H136" s="1335">
        <v>533810</v>
      </c>
      <c r="I136" s="1323">
        <f t="shared" si="4"/>
        <v>17.021999999999998</v>
      </c>
      <c r="J136" s="1323">
        <f t="shared" si="5"/>
        <v>28000.000000000004</v>
      </c>
      <c r="K136" s="1323">
        <v>476616</v>
      </c>
    </row>
    <row r="137" spans="2:11" hidden="1">
      <c r="B137" s="1330">
        <v>43950</v>
      </c>
      <c r="C137" s="1331" t="s">
        <v>344</v>
      </c>
      <c r="D137" s="1332" t="s">
        <v>1046</v>
      </c>
      <c r="E137" s="1333" t="s">
        <v>1715</v>
      </c>
      <c r="F137" s="1332" t="s">
        <v>1716</v>
      </c>
      <c r="G137" s="1334">
        <v>7023</v>
      </c>
      <c r="H137" s="1335">
        <v>226141</v>
      </c>
      <c r="I137" s="1323">
        <f t="shared" si="4"/>
        <v>7.0229999999999997</v>
      </c>
      <c r="J137" s="1323">
        <f t="shared" si="5"/>
        <v>28750</v>
      </c>
      <c r="K137" s="1323">
        <v>201911.25</v>
      </c>
    </row>
    <row r="138" spans="2:11" hidden="1">
      <c r="B138" s="1330">
        <v>43950</v>
      </c>
      <c r="C138" s="1331" t="s">
        <v>417</v>
      </c>
      <c r="D138" s="1332" t="s">
        <v>1046</v>
      </c>
      <c r="E138" s="1333" t="s">
        <v>1717</v>
      </c>
      <c r="F138" s="1332" t="s">
        <v>1718</v>
      </c>
      <c r="G138" s="1334">
        <v>21461</v>
      </c>
      <c r="H138" s="1335">
        <v>584628</v>
      </c>
      <c r="I138" s="1323">
        <f t="shared" si="4"/>
        <v>21.460999999999999</v>
      </c>
      <c r="J138" s="1323">
        <f t="shared" si="5"/>
        <v>24322.736591957506</v>
      </c>
      <c r="K138" s="1323">
        <v>521990.25</v>
      </c>
    </row>
    <row r="139" spans="2:11" hidden="1">
      <c r="B139" s="1330">
        <v>43950</v>
      </c>
      <c r="C139" s="1331" t="s">
        <v>64</v>
      </c>
      <c r="D139" s="1332" t="s">
        <v>1046</v>
      </c>
      <c r="E139" s="1333" t="s">
        <v>1719</v>
      </c>
      <c r="F139" s="1332" t="s">
        <v>1720</v>
      </c>
      <c r="G139" s="1334">
        <v>8072</v>
      </c>
      <c r="H139" s="1335">
        <v>216023</v>
      </c>
      <c r="I139" s="1323">
        <f t="shared" si="4"/>
        <v>8.0719999999999992</v>
      </c>
      <c r="J139" s="1323">
        <f t="shared" si="5"/>
        <v>23850.000000000004</v>
      </c>
      <c r="K139" s="1323">
        <v>192517.2</v>
      </c>
    </row>
    <row r="140" spans="2:11" hidden="1">
      <c r="B140" s="1330">
        <v>43951</v>
      </c>
      <c r="C140" s="1331" t="s">
        <v>255</v>
      </c>
      <c r="D140" s="1332" t="s">
        <v>1046</v>
      </c>
      <c r="E140" s="1333" t="s">
        <v>1721</v>
      </c>
      <c r="F140" s="1332" t="s">
        <v>1682</v>
      </c>
      <c r="G140" s="1334">
        <v>16445</v>
      </c>
      <c r="H140" s="1335">
        <v>383329</v>
      </c>
      <c r="I140" s="1323">
        <f t="shared" si="4"/>
        <v>16.445</v>
      </c>
      <c r="J140" s="1323">
        <f t="shared" si="5"/>
        <v>20812.268166615992</v>
      </c>
      <c r="K140" s="1323">
        <v>342257.75</v>
      </c>
    </row>
    <row r="141" spans="2:11" hidden="1">
      <c r="B141" s="1330">
        <v>43951</v>
      </c>
      <c r="C141" s="1331" t="s">
        <v>201</v>
      </c>
      <c r="D141" s="1332" t="s">
        <v>1046</v>
      </c>
      <c r="E141" s="1333" t="s">
        <v>1722</v>
      </c>
      <c r="F141" s="1332" t="s">
        <v>1723</v>
      </c>
      <c r="G141" s="1334">
        <v>6783</v>
      </c>
      <c r="H141" s="1335">
        <v>184681</v>
      </c>
      <c r="I141" s="1323">
        <f t="shared" si="4"/>
        <v>6.7830000000000004</v>
      </c>
      <c r="J141" s="1323">
        <f t="shared" si="5"/>
        <v>24250</v>
      </c>
      <c r="K141" s="1323">
        <v>164487.75</v>
      </c>
    </row>
    <row r="142" spans="2:11" hidden="1">
      <c r="B142" s="1330">
        <v>43951</v>
      </c>
      <c r="C142" s="1331" t="s">
        <v>417</v>
      </c>
      <c r="D142" s="1332" t="s">
        <v>1046</v>
      </c>
      <c r="E142" s="1333" t="s">
        <v>1724</v>
      </c>
      <c r="F142" s="1332" t="s">
        <v>1593</v>
      </c>
      <c r="G142" s="1334">
        <v>10180</v>
      </c>
      <c r="H142" s="1335">
        <v>228032</v>
      </c>
      <c r="I142" s="1323">
        <f t="shared" si="4"/>
        <v>10.18</v>
      </c>
      <c r="J142" s="1323">
        <f t="shared" si="5"/>
        <v>20000</v>
      </c>
      <c r="K142" s="1323">
        <v>203600</v>
      </c>
    </row>
    <row r="143" spans="2:11" hidden="1">
      <c r="B143" s="1330">
        <v>43951</v>
      </c>
      <c r="C143" s="1331" t="s">
        <v>417</v>
      </c>
      <c r="D143" s="1332" t="s">
        <v>1046</v>
      </c>
      <c r="E143" s="1333" t="s">
        <v>1725</v>
      </c>
      <c r="F143" s="1332" t="s">
        <v>1687</v>
      </c>
      <c r="G143" s="1334">
        <v>6497</v>
      </c>
      <c r="H143" s="1335">
        <v>152809</v>
      </c>
      <c r="I143" s="1323">
        <f t="shared" si="4"/>
        <v>6.4969999999999999</v>
      </c>
      <c r="J143" s="1323">
        <f t="shared" si="5"/>
        <v>21000</v>
      </c>
      <c r="K143" s="1323">
        <v>136437</v>
      </c>
    </row>
    <row r="144" spans="2:11" hidden="1">
      <c r="B144" s="1330">
        <v>43951</v>
      </c>
      <c r="C144" s="1331" t="s">
        <v>201</v>
      </c>
      <c r="D144" s="1332" t="s">
        <v>1046</v>
      </c>
      <c r="E144" s="1333" t="s">
        <v>1726</v>
      </c>
      <c r="F144" s="1332" t="s">
        <v>1727</v>
      </c>
      <c r="G144" s="1334">
        <v>9363</v>
      </c>
      <c r="H144" s="1335">
        <v>255005</v>
      </c>
      <c r="I144" s="1323">
        <f t="shared" si="4"/>
        <v>9.3629999999999995</v>
      </c>
      <c r="J144" s="1323">
        <f t="shared" si="5"/>
        <v>24250</v>
      </c>
      <c r="K144" s="1323">
        <v>227052.75</v>
      </c>
    </row>
    <row r="145" spans="2:11" hidden="1">
      <c r="B145" s="1330">
        <v>43951</v>
      </c>
      <c r="C145" s="1331" t="s">
        <v>417</v>
      </c>
      <c r="D145" s="1332" t="s">
        <v>1046</v>
      </c>
      <c r="E145" s="1333" t="s">
        <v>1728</v>
      </c>
      <c r="F145" s="1332" t="s">
        <v>1729</v>
      </c>
      <c r="G145" s="1334">
        <v>16271</v>
      </c>
      <c r="H145" s="1335">
        <v>375103</v>
      </c>
      <c r="I145" s="1323">
        <f t="shared" si="4"/>
        <v>16.271000000000001</v>
      </c>
      <c r="J145" s="1323">
        <f t="shared" si="5"/>
        <v>20583.430643476124</v>
      </c>
      <c r="K145" s="1323">
        <v>334913</v>
      </c>
    </row>
    <row r="146" spans="2:11" hidden="1">
      <c r="B146" s="1330">
        <v>43951</v>
      </c>
      <c r="C146" s="1331" t="s">
        <v>417</v>
      </c>
      <c r="D146" s="1332" t="s">
        <v>1046</v>
      </c>
      <c r="E146" s="1333" t="s">
        <v>1730</v>
      </c>
      <c r="F146" s="1332" t="s">
        <v>1703</v>
      </c>
      <c r="G146" s="1334">
        <v>21440</v>
      </c>
      <c r="H146" s="1335">
        <v>638248</v>
      </c>
      <c r="I146" s="1323">
        <f t="shared" si="4"/>
        <v>21.44</v>
      </c>
      <c r="J146" s="1323">
        <f t="shared" si="5"/>
        <v>26579.477611940296</v>
      </c>
      <c r="K146" s="1323">
        <v>569864</v>
      </c>
    </row>
    <row r="147" spans="2:11" hidden="1"/>
    <row r="148" spans="2:11" hidden="1"/>
    <row r="149" spans="2:11" hidden="1"/>
    <row r="150" spans="2:11" hidden="1"/>
    <row r="151" spans="2:11" hidden="1"/>
    <row r="152" spans="2:11" hidden="1"/>
    <row r="153" spans="2:11" hidden="1"/>
    <row r="154" spans="2:11" hidden="1"/>
    <row r="155" spans="2:11" hidden="1"/>
    <row r="156" spans="2:11" hidden="1"/>
    <row r="157" spans="2:11" hidden="1"/>
    <row r="158" spans="2:11" hidden="1"/>
    <row r="159" spans="2:11" hidden="1"/>
    <row r="160" spans="2:11"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sheetData>
  <customSheetViews>
    <customSheetView guid="{F039C147-8083-49A0-B541-A610A15BA793}" topLeftCell="A24">
      <selection activeCell="E37" sqref="E37"/>
      <pageMargins left="0.7" right="0.7" top="0.75" bottom="0.75" header="0.3" footer="0.3"/>
    </customSheetView>
    <customSheetView guid="{F140806D-66CA-4A66-855A-CCBDE7D69760}" topLeftCell="A24">
      <selection activeCell="E37" sqref="E37"/>
      <pageMargins left="0.7" right="0.7" top="0.75" bottom="0.75" header="0.3" footer="0.3"/>
    </customSheetView>
  </customSheetViews>
  <mergeCells count="4">
    <mergeCell ref="B3:G3"/>
    <mergeCell ref="B5:G5"/>
    <mergeCell ref="B43:D43"/>
    <mergeCell ref="B44:D44"/>
  </mergeCells>
  <pageMargins left="0.7" right="0.7" top="0.75" bottom="0.75" header="0.3" footer="0.3"/>
  <pageSetup scale="59" orientation="portrait" r:id="rId1"/>
  <colBreaks count="1" manualBreakCount="1">
    <brk id="8"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68"/>
  <sheetViews>
    <sheetView view="pageBreakPreview" topLeftCell="A16" zoomScale="45" zoomScaleNormal="100" zoomScaleSheetLayoutView="50" workbookViewId="0">
      <selection activeCell="N42" sqref="N42"/>
    </sheetView>
  </sheetViews>
  <sheetFormatPr defaultRowHeight="16.5"/>
  <cols>
    <col min="1" max="1" width="1.42578125" style="96" customWidth="1"/>
    <col min="2" max="2" width="7.85546875" style="96" customWidth="1"/>
    <col min="3" max="3" width="30" style="96" customWidth="1"/>
    <col min="4" max="4" width="15.42578125" style="96" bestFit="1" customWidth="1"/>
    <col min="5" max="5" width="19.28515625" style="96" customWidth="1"/>
    <col min="6" max="6" width="21.140625" style="96" customWidth="1"/>
    <col min="7" max="7" width="17.42578125" style="96" bestFit="1" customWidth="1"/>
    <col min="8" max="10" width="19.85546875" style="96" customWidth="1"/>
    <col min="11" max="11" width="22.28515625" style="96" bestFit="1" customWidth="1"/>
    <col min="12" max="12" width="16.5703125" style="249" bestFit="1" customWidth="1"/>
    <col min="13" max="13" width="17.42578125" style="96" bestFit="1" customWidth="1"/>
    <col min="14" max="14" width="22.140625" style="96" customWidth="1"/>
    <col min="15" max="15" width="18.5703125" style="249" bestFit="1" customWidth="1"/>
    <col min="16" max="16" width="13.140625" style="96" customWidth="1"/>
    <col min="17" max="17" width="21.140625" style="96" customWidth="1"/>
    <col min="18" max="18" width="2.85546875" style="96" customWidth="1"/>
    <col min="19" max="19" width="14" style="97" bestFit="1" customWidth="1"/>
    <col min="20" max="20" width="16.42578125" style="97" bestFit="1" customWidth="1"/>
    <col min="21" max="21" width="11.85546875" style="97" bestFit="1" customWidth="1"/>
    <col min="22" max="22" width="17.140625" style="97" bestFit="1" customWidth="1"/>
    <col min="23" max="23" width="9.140625" style="97"/>
    <col min="24" max="24" width="13.5703125" style="97" bestFit="1" customWidth="1"/>
    <col min="25" max="16384" width="9.140625" style="96"/>
  </cols>
  <sheetData>
    <row r="1" spans="2:25" ht="18.75">
      <c r="B1" s="1530" t="s">
        <v>1259</v>
      </c>
      <c r="C1" s="1530"/>
      <c r="D1" s="1530"/>
      <c r="E1" s="1530"/>
      <c r="F1" s="1530"/>
      <c r="G1" s="1530"/>
      <c r="H1" s="1530"/>
      <c r="I1" s="1530"/>
      <c r="J1" s="1530"/>
      <c r="K1" s="1530"/>
      <c r="L1" s="1530"/>
      <c r="M1" s="1530"/>
      <c r="N1" s="1530"/>
      <c r="O1" s="1530"/>
      <c r="P1" s="1530"/>
      <c r="Q1" s="1530"/>
    </row>
    <row r="2" spans="2:25" s="98" customFormat="1">
      <c r="B2" s="1531" t="s">
        <v>1260</v>
      </c>
      <c r="C2" s="1531"/>
      <c r="D2" s="1531"/>
      <c r="E2" s="1531"/>
      <c r="F2" s="1531"/>
      <c r="G2" s="1531"/>
      <c r="H2" s="1531"/>
      <c r="I2" s="1531"/>
      <c r="J2" s="1531"/>
      <c r="K2" s="1531"/>
      <c r="L2" s="1531"/>
      <c r="M2" s="1531"/>
      <c r="N2" s="1531"/>
      <c r="O2" s="1531"/>
      <c r="P2" s="1531"/>
      <c r="Q2" s="1531"/>
      <c r="S2" s="99"/>
      <c r="T2" s="99"/>
      <c r="U2" s="99"/>
      <c r="V2" s="99"/>
      <c r="W2" s="99"/>
      <c r="X2" s="99"/>
    </row>
    <row r="3" spans="2:25" s="98" customFormat="1" ht="16.5" hidden="1" customHeight="1">
      <c r="B3" s="296"/>
      <c r="C3" s="296"/>
      <c r="D3" s="296"/>
      <c r="E3" s="296"/>
      <c r="F3" s="296"/>
      <c r="G3" s="296"/>
      <c r="H3" s="296"/>
      <c r="I3" s="296"/>
      <c r="J3" s="296"/>
      <c r="K3" s="296"/>
      <c r="L3" s="100"/>
      <c r="M3" s="296"/>
      <c r="N3" s="296"/>
      <c r="O3" s="100"/>
      <c r="P3" s="296"/>
      <c r="Q3" s="296"/>
      <c r="S3" s="99"/>
      <c r="T3" s="99"/>
      <c r="U3" s="99"/>
      <c r="V3" s="99"/>
      <c r="W3" s="99"/>
      <c r="X3" s="99"/>
    </row>
    <row r="4" spans="2:25" s="98" customFormat="1" ht="16.5" hidden="1" customHeight="1">
      <c r="B4" s="296"/>
      <c r="C4" s="296"/>
      <c r="D4" s="296"/>
      <c r="E4" s="296"/>
      <c r="F4" s="296"/>
      <c r="G4" s="296"/>
      <c r="H4" s="296"/>
      <c r="I4" s="296"/>
      <c r="J4" s="296"/>
      <c r="K4" s="296"/>
      <c r="L4" s="100"/>
      <c r="M4" s="296"/>
      <c r="N4" s="296"/>
      <c r="O4" s="100"/>
      <c r="P4" s="296"/>
      <c r="Q4" s="296"/>
      <c r="S4" s="99"/>
      <c r="T4" s="99"/>
      <c r="U4" s="99"/>
      <c r="V4" s="99"/>
      <c r="W4" s="99"/>
      <c r="X4" s="99"/>
    </row>
    <row r="5" spans="2:25" s="98" customFormat="1" ht="16.5" hidden="1" customHeight="1">
      <c r="B5" s="296"/>
      <c r="C5" s="296"/>
      <c r="D5" s="296"/>
      <c r="E5" s="296"/>
      <c r="F5" s="296"/>
      <c r="G5" s="1532"/>
      <c r="H5" s="1532"/>
      <c r="I5" s="1532"/>
      <c r="J5" s="1532"/>
      <c r="K5" s="1532"/>
      <c r="L5" s="100"/>
      <c r="M5" s="296"/>
      <c r="N5" s="296"/>
      <c r="O5" s="100"/>
      <c r="P5" s="296"/>
      <c r="Q5" s="296"/>
      <c r="S5" s="99"/>
      <c r="T5" s="99"/>
      <c r="U5" s="99"/>
      <c r="V5" s="99"/>
      <c r="W5" s="99"/>
      <c r="X5" s="99"/>
    </row>
    <row r="6" spans="2:25" ht="17.25" thickBot="1">
      <c r="B6" s="296"/>
      <c r="C6" s="296"/>
      <c r="D6" s="296"/>
      <c r="E6" s="296"/>
      <c r="F6" s="296"/>
      <c r="G6" s="1533"/>
      <c r="H6" s="1533"/>
      <c r="I6" s="1533"/>
      <c r="J6" s="1533"/>
      <c r="K6" s="1533"/>
      <c r="L6" s="100"/>
      <c r="M6" s="296"/>
      <c r="N6" s="296"/>
      <c r="O6" s="100"/>
      <c r="P6" s="296"/>
      <c r="Q6" s="296"/>
    </row>
    <row r="7" spans="2:25" ht="21.75" customHeight="1">
      <c r="B7" s="1534" t="s">
        <v>1261</v>
      </c>
      <c r="C7" s="1536" t="s">
        <v>546</v>
      </c>
      <c r="D7" s="1538" t="s">
        <v>1262</v>
      </c>
      <c r="E7" s="1539"/>
      <c r="F7" s="1540"/>
      <c r="G7" s="1541" t="s">
        <v>1263</v>
      </c>
      <c r="H7" s="1542"/>
      <c r="I7" s="1542"/>
      <c r="J7" s="1542"/>
      <c r="K7" s="1543"/>
      <c r="L7" s="1538" t="s">
        <v>1264</v>
      </c>
      <c r="M7" s="1539"/>
      <c r="N7" s="1540"/>
      <c r="O7" s="1538" t="s">
        <v>1265</v>
      </c>
      <c r="P7" s="1539"/>
      <c r="Q7" s="1540"/>
    </row>
    <row r="8" spans="2:25" ht="30" customHeight="1" thickBot="1">
      <c r="B8" s="1535"/>
      <c r="C8" s="1537"/>
      <c r="D8" s="101" t="s">
        <v>1266</v>
      </c>
      <c r="E8" s="102" t="s">
        <v>1267</v>
      </c>
      <c r="F8" s="103" t="s">
        <v>1268</v>
      </c>
      <c r="G8" s="101" t="s">
        <v>1266</v>
      </c>
      <c r="H8" s="104" t="s">
        <v>1267</v>
      </c>
      <c r="I8" s="105" t="s">
        <v>1269</v>
      </c>
      <c r="J8" s="105" t="s">
        <v>1096</v>
      </c>
      <c r="K8" s="106" t="s">
        <v>1268</v>
      </c>
      <c r="L8" s="107" t="s">
        <v>1266</v>
      </c>
      <c r="M8" s="102" t="s">
        <v>1267</v>
      </c>
      <c r="N8" s="106" t="s">
        <v>1268</v>
      </c>
      <c r="O8" s="107" t="s">
        <v>1266</v>
      </c>
      <c r="P8" s="102" t="s">
        <v>1267</v>
      </c>
      <c r="Q8" s="103" t="s">
        <v>1268</v>
      </c>
    </row>
    <row r="9" spans="2:25" s="118" customFormat="1" ht="22.5" customHeight="1">
      <c r="B9" s="108" t="s">
        <v>1270</v>
      </c>
      <c r="C9" s="109" t="s">
        <v>1271</v>
      </c>
      <c r="D9" s="110">
        <v>410</v>
      </c>
      <c r="E9" s="111">
        <v>11354</v>
      </c>
      <c r="F9" s="112">
        <f>SUM(E9*D9)</f>
        <v>4655140</v>
      </c>
      <c r="G9" s="113">
        <v>23324.695</v>
      </c>
      <c r="H9" s="114">
        <v>0</v>
      </c>
      <c r="I9" s="115"/>
      <c r="J9" s="116">
        <f>SUM(K9/G9)</f>
        <v>10222.794467408899</v>
      </c>
      <c r="K9" s="112">
        <v>238443563</v>
      </c>
      <c r="L9" s="117">
        <f>+D9+G9-O9</f>
        <v>23307.695</v>
      </c>
      <c r="M9" s="116">
        <f>SUM(N9/L9)</f>
        <v>10218.679367479281</v>
      </c>
      <c r="N9" s="112">
        <f>+F9+K9-Q9</f>
        <v>238173862</v>
      </c>
      <c r="O9" s="113">
        <v>427</v>
      </c>
      <c r="P9" s="116">
        <f>SUM(Q9/O9)</f>
        <v>11533.585480093678</v>
      </c>
      <c r="Q9" s="112">
        <v>4924841</v>
      </c>
      <c r="S9" s="119"/>
      <c r="T9" s="119"/>
      <c r="U9" s="119"/>
      <c r="V9" s="119"/>
      <c r="W9" s="119"/>
      <c r="X9" s="119"/>
    </row>
    <row r="10" spans="2:25" s="118" customFormat="1" ht="19.5" customHeight="1">
      <c r="B10" s="120"/>
      <c r="C10" s="121" t="s">
        <v>425</v>
      </c>
      <c r="D10" s="122">
        <f>+D9</f>
        <v>410</v>
      </c>
      <c r="E10" s="123"/>
      <c r="F10" s="124">
        <f>+F9</f>
        <v>4655140</v>
      </c>
      <c r="G10" s="125">
        <f>+G9</f>
        <v>23324.695</v>
      </c>
      <c r="H10" s="126">
        <v>0</v>
      </c>
      <c r="I10" s="127"/>
      <c r="J10" s="127"/>
      <c r="K10" s="128">
        <f>+K9</f>
        <v>238443563</v>
      </c>
      <c r="L10" s="129">
        <f>+L9</f>
        <v>23307.695</v>
      </c>
      <c r="M10" s="130"/>
      <c r="N10" s="124">
        <f>+N9</f>
        <v>238173862</v>
      </c>
      <c r="O10" s="125">
        <f>+O9</f>
        <v>427</v>
      </c>
      <c r="P10" s="131"/>
      <c r="Q10" s="132">
        <f>SUM(Q9)</f>
        <v>4924841</v>
      </c>
      <c r="R10" s="118">
        <f>F10+K10-N10</f>
        <v>4924841</v>
      </c>
      <c r="S10" s="119"/>
      <c r="T10" s="119"/>
      <c r="U10" s="119"/>
      <c r="V10" s="119"/>
      <c r="W10" s="119"/>
      <c r="X10" s="119"/>
    </row>
    <row r="11" spans="2:25" s="118" customFormat="1" ht="18.75" customHeight="1">
      <c r="B11" s="120"/>
      <c r="C11" s="133"/>
      <c r="D11" s="134"/>
      <c r="E11" s="135"/>
      <c r="F11" s="112"/>
      <c r="G11" s="134"/>
      <c r="H11" s="136"/>
      <c r="I11" s="137"/>
      <c r="J11" s="137"/>
      <c r="K11" s="138"/>
      <c r="L11" s="139"/>
      <c r="M11" s="136"/>
      <c r="N11" s="140"/>
      <c r="O11" s="141"/>
      <c r="P11" s="142"/>
      <c r="Q11" s="138"/>
      <c r="S11" s="495" t="s">
        <v>1795</v>
      </c>
      <c r="T11" s="495" t="s">
        <v>1796</v>
      </c>
      <c r="U11" s="495" t="s">
        <v>1797</v>
      </c>
      <c r="V11" s="495" t="s">
        <v>425</v>
      </c>
      <c r="W11" s="495" t="s">
        <v>1798</v>
      </c>
      <c r="X11" s="495" t="s">
        <v>1799</v>
      </c>
      <c r="Y11" s="496" t="s">
        <v>1321</v>
      </c>
    </row>
    <row r="12" spans="2:25" s="118" customFormat="1" ht="21.75" customHeight="1">
      <c r="B12" s="120" t="s">
        <v>1272</v>
      </c>
      <c r="C12" s="143" t="s">
        <v>1273</v>
      </c>
      <c r="D12" s="134">
        <v>150</v>
      </c>
      <c r="E12" s="135">
        <v>18738.55</v>
      </c>
      <c r="F12" s="112">
        <f t="shared" ref="F12:F19" si="0">SUM(E12*D12)</f>
        <v>2810782.5</v>
      </c>
      <c r="G12" s="134"/>
      <c r="H12" s="136"/>
      <c r="I12" s="137"/>
      <c r="J12" s="137"/>
      <c r="K12" s="138"/>
      <c r="L12" s="139"/>
      <c r="M12" s="136"/>
      <c r="N12" s="140"/>
      <c r="O12" s="141">
        <v>151</v>
      </c>
      <c r="P12" s="116">
        <f t="shared" ref="P12:P32" si="1">SUM(Q12/O12)</f>
        <v>11539.562913907284</v>
      </c>
      <c r="Q12" s="112">
        <v>1742474</v>
      </c>
      <c r="S12" s="495">
        <v>1290141</v>
      </c>
      <c r="T12" s="495">
        <v>374230</v>
      </c>
      <c r="U12" s="495">
        <v>84300</v>
      </c>
      <c r="V12" s="497">
        <f>+SUM(S12:U12)</f>
        <v>1748671</v>
      </c>
      <c r="W12" s="495">
        <v>151.53700000000001</v>
      </c>
      <c r="X12" s="495">
        <f>+V12/W12*O12</f>
        <v>1742474.2538126002</v>
      </c>
      <c r="Y12" s="496">
        <f>+Q12-X12</f>
        <v>-0.25381260016001761</v>
      </c>
    </row>
    <row r="13" spans="2:25" s="118" customFormat="1" ht="19.5" customHeight="1">
      <c r="B13" s="120"/>
      <c r="C13" s="143" t="s">
        <v>1273</v>
      </c>
      <c r="D13" s="134">
        <v>84</v>
      </c>
      <c r="E13" s="135">
        <v>18572.12</v>
      </c>
      <c r="F13" s="112">
        <f t="shared" si="0"/>
        <v>1560058.0799999998</v>
      </c>
      <c r="G13" s="134"/>
      <c r="H13" s="136"/>
      <c r="I13" s="137"/>
      <c r="J13" s="137"/>
      <c r="K13" s="138"/>
      <c r="L13" s="139"/>
      <c r="M13" s="136"/>
      <c r="N13" s="140"/>
      <c r="O13" s="141">
        <v>245</v>
      </c>
      <c r="P13" s="116">
        <f t="shared" si="1"/>
        <v>11608.848979591838</v>
      </c>
      <c r="Q13" s="112">
        <v>2844168</v>
      </c>
      <c r="S13" s="496"/>
      <c r="T13" s="495"/>
      <c r="U13" s="495"/>
      <c r="V13" s="495"/>
      <c r="W13" s="495"/>
      <c r="X13" s="495"/>
      <c r="Y13" s="496"/>
    </row>
    <row r="14" spans="2:25" s="118" customFormat="1" ht="21" customHeight="1">
      <c r="B14" s="120"/>
      <c r="C14" s="143" t="s">
        <v>1273</v>
      </c>
      <c r="D14" s="134">
        <v>112</v>
      </c>
      <c r="E14" s="135">
        <v>14963.98</v>
      </c>
      <c r="F14" s="112">
        <f>SUM(E14*D14)</f>
        <v>1675965.76</v>
      </c>
      <c r="G14" s="134"/>
      <c r="H14" s="136"/>
      <c r="I14" s="137"/>
      <c r="J14" s="137"/>
      <c r="K14" s="138"/>
      <c r="L14" s="139"/>
      <c r="M14" s="136"/>
      <c r="N14" s="140"/>
      <c r="O14" s="141">
        <v>261</v>
      </c>
      <c r="P14" s="116">
        <f t="shared" si="1"/>
        <v>13315.781609195403</v>
      </c>
      <c r="Q14" s="112">
        <v>3475419</v>
      </c>
      <c r="S14" s="495"/>
      <c r="T14" s="495"/>
      <c r="U14" s="495"/>
      <c r="V14" s="495"/>
      <c r="W14" s="495"/>
      <c r="X14" s="495"/>
      <c r="Y14" s="496"/>
    </row>
    <row r="15" spans="2:25" s="118" customFormat="1" ht="21" customHeight="1">
      <c r="B15" s="120"/>
      <c r="C15" s="143" t="s">
        <v>1273</v>
      </c>
      <c r="D15" s="134">
        <v>140</v>
      </c>
      <c r="E15" s="135">
        <v>14114.61</v>
      </c>
      <c r="F15" s="112">
        <f t="shared" si="0"/>
        <v>1976045.4000000001</v>
      </c>
      <c r="G15" s="134"/>
      <c r="H15" s="136"/>
      <c r="I15" s="137"/>
      <c r="J15" s="137"/>
      <c r="K15" s="138"/>
      <c r="L15" s="139"/>
      <c r="M15" s="136"/>
      <c r="N15" s="140"/>
      <c r="O15" s="141">
        <v>244</v>
      </c>
      <c r="P15" s="116">
        <f t="shared" si="1"/>
        <v>11943.209016393443</v>
      </c>
      <c r="Q15" s="112">
        <v>2914143</v>
      </c>
      <c r="S15" s="495"/>
      <c r="T15" s="495"/>
      <c r="U15" s="495"/>
      <c r="V15" s="495"/>
      <c r="W15" s="495"/>
      <c r="X15" s="495"/>
      <c r="Y15" s="496"/>
    </row>
    <row r="16" spans="2:25" s="118" customFormat="1" ht="18.75" customHeight="1">
      <c r="B16" s="120"/>
      <c r="C16" s="143" t="s">
        <v>1273</v>
      </c>
      <c r="D16" s="134">
        <v>75</v>
      </c>
      <c r="E16" s="135">
        <v>13616.75</v>
      </c>
      <c r="F16" s="112">
        <f t="shared" si="0"/>
        <v>1021256.25</v>
      </c>
      <c r="G16" s="134"/>
      <c r="H16" s="136"/>
      <c r="I16" s="137"/>
      <c r="J16" s="137"/>
      <c r="K16" s="138"/>
      <c r="L16" s="139"/>
      <c r="M16" s="136"/>
      <c r="N16" s="140"/>
      <c r="O16" s="141">
        <v>248</v>
      </c>
      <c r="P16" s="116">
        <f t="shared" si="1"/>
        <v>12086.070247118032</v>
      </c>
      <c r="Q16" s="112">
        <v>2997345.4212852721</v>
      </c>
      <c r="S16" s="495"/>
      <c r="T16" s="495"/>
      <c r="U16" s="495"/>
      <c r="V16" s="495"/>
      <c r="W16" s="495"/>
      <c r="X16" s="495"/>
      <c r="Y16" s="496"/>
    </row>
    <row r="17" spans="2:25" s="118" customFormat="1" ht="18.75" customHeight="1">
      <c r="B17" s="120"/>
      <c r="C17" s="143" t="s">
        <v>1273</v>
      </c>
      <c r="D17" s="134">
        <v>248</v>
      </c>
      <c r="E17" s="135">
        <v>13598.64</v>
      </c>
      <c r="F17" s="112">
        <f t="shared" si="0"/>
        <v>3372462.7199999997</v>
      </c>
      <c r="G17" s="134"/>
      <c r="H17" s="136"/>
      <c r="I17" s="137"/>
      <c r="J17" s="137"/>
      <c r="K17" s="138"/>
      <c r="L17" s="139"/>
      <c r="M17" s="136"/>
      <c r="N17" s="140"/>
      <c r="O17" s="141">
        <v>150</v>
      </c>
      <c r="P17" s="116">
        <f t="shared" si="1"/>
        <v>9876.2199999999993</v>
      </c>
      <c r="Q17" s="112">
        <v>1481433</v>
      </c>
      <c r="S17" s="495"/>
      <c r="T17" s="495"/>
      <c r="U17" s="495"/>
      <c r="V17" s="495"/>
      <c r="W17" s="495"/>
      <c r="X17" s="495"/>
      <c r="Y17" s="496"/>
    </row>
    <row r="18" spans="2:25" s="118" customFormat="1" ht="20.25" customHeight="1">
      <c r="B18" s="120"/>
      <c r="C18" s="143" t="s">
        <v>1273</v>
      </c>
      <c r="D18" s="134">
        <v>240</v>
      </c>
      <c r="E18" s="135">
        <v>12448.94</v>
      </c>
      <c r="F18" s="112">
        <f>SUM(E18*D18)</f>
        <v>2987745.6</v>
      </c>
      <c r="G18" s="134"/>
      <c r="H18" s="136"/>
      <c r="I18" s="137"/>
      <c r="J18" s="137"/>
      <c r="K18" s="138"/>
      <c r="L18" s="139"/>
      <c r="M18" s="136"/>
      <c r="N18" s="140"/>
      <c r="O18" s="141">
        <v>99</v>
      </c>
      <c r="P18" s="116">
        <f t="shared" si="1"/>
        <v>9954.0303030303039</v>
      </c>
      <c r="Q18" s="112">
        <v>985449</v>
      </c>
      <c r="S18" s="495"/>
      <c r="T18" s="495"/>
      <c r="U18" s="495"/>
      <c r="V18" s="495"/>
      <c r="W18" s="495"/>
      <c r="X18" s="495"/>
      <c r="Y18" s="496"/>
    </row>
    <row r="19" spans="2:25" s="118" customFormat="1" ht="18.75" customHeight="1">
      <c r="B19" s="120"/>
      <c r="C19" s="143" t="s">
        <v>1273</v>
      </c>
      <c r="D19" s="134">
        <v>181</v>
      </c>
      <c r="E19" s="135">
        <v>9701.01</v>
      </c>
      <c r="F19" s="112">
        <f t="shared" si="0"/>
        <v>1755882.81</v>
      </c>
      <c r="G19" s="134"/>
      <c r="H19" s="136"/>
      <c r="I19" s="137"/>
      <c r="J19" s="137"/>
      <c r="K19" s="138"/>
      <c r="L19" s="139"/>
      <c r="M19" s="136"/>
      <c r="N19" s="140"/>
      <c r="O19" s="141">
        <v>37</v>
      </c>
      <c r="P19" s="116">
        <f t="shared" si="1"/>
        <v>12198.108108108108</v>
      </c>
      <c r="Q19" s="112">
        <v>451330</v>
      </c>
      <c r="S19" s="495"/>
      <c r="T19" s="495"/>
      <c r="U19" s="495"/>
      <c r="V19" s="495"/>
      <c r="W19" s="495"/>
      <c r="X19" s="495"/>
      <c r="Y19" s="496"/>
    </row>
    <row r="20" spans="2:25" s="118" customFormat="1" ht="18.75" customHeight="1">
      <c r="B20" s="120"/>
      <c r="C20" s="143" t="s">
        <v>1273</v>
      </c>
      <c r="D20" s="134"/>
      <c r="E20" s="135"/>
      <c r="F20" s="144"/>
      <c r="G20" s="134"/>
      <c r="H20" s="136"/>
      <c r="I20" s="137"/>
      <c r="J20" s="137"/>
      <c r="K20" s="138"/>
      <c r="L20" s="139"/>
      <c r="M20" s="136"/>
      <c r="N20" s="140"/>
      <c r="O20" s="141">
        <v>136</v>
      </c>
      <c r="P20" s="116">
        <f t="shared" si="1"/>
        <v>12537.889705882353</v>
      </c>
      <c r="Q20" s="112">
        <v>1705153</v>
      </c>
      <c r="S20" s="495"/>
      <c r="T20" s="495"/>
      <c r="U20" s="495"/>
      <c r="V20" s="495"/>
      <c r="W20" s="495"/>
      <c r="X20" s="495"/>
      <c r="Y20" s="496"/>
    </row>
    <row r="21" spans="2:25" s="118" customFormat="1" ht="24.75" customHeight="1">
      <c r="B21" s="120"/>
      <c r="C21" s="143" t="s">
        <v>1273</v>
      </c>
      <c r="D21" s="134"/>
      <c r="E21" s="135"/>
      <c r="F21" s="145"/>
      <c r="G21" s="134"/>
      <c r="H21" s="136"/>
      <c r="I21" s="137"/>
      <c r="J21" s="137"/>
      <c r="K21" s="138"/>
      <c r="L21" s="139"/>
      <c r="M21" s="136"/>
      <c r="N21" s="140"/>
      <c r="O21" s="141">
        <v>245</v>
      </c>
      <c r="P21" s="146">
        <f t="shared" si="1"/>
        <v>8515.3510204081631</v>
      </c>
      <c r="Q21" s="147">
        <v>2086261</v>
      </c>
      <c r="S21" s="495"/>
      <c r="T21" s="495"/>
      <c r="U21" s="495"/>
      <c r="V21" s="495"/>
      <c r="W21" s="495"/>
      <c r="X21" s="495"/>
      <c r="Y21" s="496"/>
    </row>
    <row r="22" spans="2:25" s="118" customFormat="1" ht="19.5" customHeight="1">
      <c r="B22" s="120"/>
      <c r="C22" s="143" t="s">
        <v>1273</v>
      </c>
      <c r="D22" s="134"/>
      <c r="E22" s="135"/>
      <c r="F22" s="148"/>
      <c r="G22" s="149"/>
      <c r="H22" s="150"/>
      <c r="I22" s="151"/>
      <c r="J22" s="151"/>
      <c r="K22" s="152"/>
      <c r="L22" s="153"/>
      <c r="M22" s="150"/>
      <c r="N22" s="154"/>
      <c r="O22" s="155">
        <v>49</v>
      </c>
      <c r="P22" s="146">
        <f t="shared" si="1"/>
        <v>8379.5102040816328</v>
      </c>
      <c r="Q22" s="147">
        <v>410596</v>
      </c>
      <c r="S22" s="495"/>
      <c r="T22" s="495"/>
      <c r="U22" s="495"/>
      <c r="V22" s="495"/>
      <c r="W22" s="495"/>
      <c r="X22" s="495"/>
      <c r="Y22" s="496"/>
    </row>
    <row r="23" spans="2:25" s="118" customFormat="1" ht="18.75" customHeight="1">
      <c r="B23" s="120"/>
      <c r="C23" s="143" t="s">
        <v>1273</v>
      </c>
      <c r="D23" s="134"/>
      <c r="E23" s="135"/>
      <c r="F23" s="148"/>
      <c r="G23" s="149"/>
      <c r="H23" s="150"/>
      <c r="I23" s="151"/>
      <c r="J23" s="151"/>
      <c r="K23" s="152"/>
      <c r="L23" s="153"/>
      <c r="M23" s="150"/>
      <c r="N23" s="154"/>
      <c r="O23" s="155">
        <v>96</v>
      </c>
      <c r="P23" s="146">
        <f t="shared" si="1"/>
        <v>8585.7604166666661</v>
      </c>
      <c r="Q23" s="147">
        <v>824233</v>
      </c>
      <c r="S23" s="495"/>
      <c r="T23" s="495"/>
      <c r="U23" s="495"/>
      <c r="V23" s="495"/>
      <c r="W23" s="495"/>
      <c r="X23" s="495"/>
      <c r="Y23" s="496"/>
    </row>
    <row r="24" spans="2:25" s="118" customFormat="1" ht="19.5" customHeight="1">
      <c r="B24" s="120"/>
      <c r="C24" s="143" t="s">
        <v>1273</v>
      </c>
      <c r="D24" s="134"/>
      <c r="E24" s="135"/>
      <c r="F24" s="148"/>
      <c r="G24" s="149"/>
      <c r="H24" s="150"/>
      <c r="I24" s="151"/>
      <c r="J24" s="151"/>
      <c r="K24" s="152"/>
      <c r="L24" s="153"/>
      <c r="M24" s="150"/>
      <c r="N24" s="154"/>
      <c r="O24" s="155">
        <v>254</v>
      </c>
      <c r="P24" s="111">
        <f t="shared" si="1"/>
        <v>9118.2795275590543</v>
      </c>
      <c r="Q24" s="156">
        <v>2316043</v>
      </c>
      <c r="S24" s="495"/>
      <c r="T24" s="495"/>
      <c r="U24" s="495"/>
      <c r="V24" s="495"/>
      <c r="W24" s="495"/>
      <c r="X24" s="495"/>
      <c r="Y24" s="496"/>
    </row>
    <row r="25" spans="2:25" s="118" customFormat="1" ht="22.5" customHeight="1">
      <c r="B25" s="120"/>
      <c r="C25" s="143" t="s">
        <v>1273</v>
      </c>
      <c r="D25" s="134"/>
      <c r="E25" s="135"/>
      <c r="F25" s="148"/>
      <c r="G25" s="149"/>
      <c r="H25" s="150"/>
      <c r="I25" s="151"/>
      <c r="J25" s="151"/>
      <c r="K25" s="152"/>
      <c r="L25" s="153"/>
      <c r="M25" s="150"/>
      <c r="N25" s="154"/>
      <c r="O25" s="155">
        <v>255</v>
      </c>
      <c r="P25" s="111">
        <f t="shared" si="1"/>
        <v>9919.4313725490192</v>
      </c>
      <c r="Q25" s="156">
        <v>2529455</v>
      </c>
      <c r="S25" s="495"/>
      <c r="T25" s="495"/>
      <c r="U25" s="495"/>
      <c r="V25" s="495"/>
      <c r="W25" s="495"/>
      <c r="X25" s="495"/>
      <c r="Y25" s="496"/>
    </row>
    <row r="26" spans="2:25" s="118" customFormat="1" ht="22.5" customHeight="1">
      <c r="B26" s="120"/>
      <c r="C26" s="143"/>
      <c r="D26" s="134"/>
      <c r="E26" s="135"/>
      <c r="F26" s="157"/>
      <c r="G26" s="149"/>
      <c r="H26" s="150"/>
      <c r="I26" s="151"/>
      <c r="J26" s="158"/>
      <c r="K26" s="159"/>
      <c r="L26" s="153"/>
      <c r="M26" s="160"/>
      <c r="N26" s="161"/>
      <c r="O26" s="141">
        <v>256</v>
      </c>
      <c r="P26" s="111">
        <f t="shared" si="1"/>
        <v>9140.30859375</v>
      </c>
      <c r="Q26" s="162">
        <v>2339919</v>
      </c>
      <c r="S26" s="495"/>
      <c r="T26" s="495"/>
      <c r="U26" s="495"/>
      <c r="V26" s="495"/>
      <c r="W26" s="495"/>
      <c r="X26" s="495"/>
      <c r="Y26" s="496"/>
    </row>
    <row r="27" spans="2:25" s="118" customFormat="1" ht="22.5" customHeight="1">
      <c r="B27" s="120"/>
      <c r="C27" s="143"/>
      <c r="D27" s="134"/>
      <c r="E27" s="135"/>
      <c r="F27" s="157"/>
      <c r="G27" s="149"/>
      <c r="H27" s="150"/>
      <c r="I27" s="151"/>
      <c r="J27" s="158"/>
      <c r="K27" s="159"/>
      <c r="L27" s="153"/>
      <c r="M27" s="160"/>
      <c r="N27" s="161"/>
      <c r="O27" s="141">
        <v>243</v>
      </c>
      <c r="P27" s="111">
        <f t="shared" si="1"/>
        <v>10021.720164609054</v>
      </c>
      <c r="Q27" s="162">
        <v>2435278</v>
      </c>
      <c r="S27" s="495"/>
      <c r="T27" s="495"/>
      <c r="U27" s="495"/>
      <c r="V27" s="495"/>
      <c r="W27" s="495"/>
      <c r="X27" s="495"/>
      <c r="Y27" s="496"/>
    </row>
    <row r="28" spans="2:25" s="118" customFormat="1" ht="22.5" customHeight="1">
      <c r="B28" s="120"/>
      <c r="C28" s="143"/>
      <c r="D28" s="134"/>
      <c r="E28" s="135"/>
      <c r="F28" s="157"/>
      <c r="G28" s="149"/>
      <c r="H28" s="150"/>
      <c r="I28" s="151"/>
      <c r="J28" s="158"/>
      <c r="K28" s="159"/>
      <c r="L28" s="153"/>
      <c r="M28" s="160"/>
      <c r="N28" s="161"/>
      <c r="O28" s="155">
        <v>255</v>
      </c>
      <c r="P28" s="111">
        <f t="shared" si="1"/>
        <v>8430.0705882352941</v>
      </c>
      <c r="Q28" s="162">
        <v>2149668</v>
      </c>
      <c r="S28" s="495"/>
      <c r="T28" s="495"/>
      <c r="U28" s="495"/>
      <c r="V28" s="495"/>
      <c r="W28" s="495"/>
      <c r="X28" s="495"/>
      <c r="Y28" s="496"/>
    </row>
    <row r="29" spans="2:25" s="118" customFormat="1" ht="22.5" customHeight="1">
      <c r="B29" s="120"/>
      <c r="C29" s="143"/>
      <c r="D29" s="134"/>
      <c r="E29" s="135"/>
      <c r="F29" s="157"/>
      <c r="G29" s="149"/>
      <c r="H29" s="150"/>
      <c r="I29" s="151"/>
      <c r="J29" s="158"/>
      <c r="K29" s="159"/>
      <c r="L29" s="153"/>
      <c r="M29" s="160"/>
      <c r="N29" s="161"/>
      <c r="O29" s="155">
        <v>71</v>
      </c>
      <c r="P29" s="111">
        <f t="shared" si="1"/>
        <v>8666.070422535211</v>
      </c>
      <c r="Q29" s="162">
        <v>615291</v>
      </c>
      <c r="S29" s="495"/>
      <c r="T29" s="495"/>
      <c r="U29" s="495"/>
      <c r="V29" s="495"/>
      <c r="W29" s="495"/>
      <c r="X29" s="495"/>
      <c r="Y29" s="496"/>
    </row>
    <row r="30" spans="2:25" s="171" customFormat="1" ht="16.5" customHeight="1">
      <c r="B30" s="163"/>
      <c r="C30" s="164"/>
      <c r="D30" s="122">
        <v>1230</v>
      </c>
      <c r="E30" s="123">
        <v>13951.38</v>
      </c>
      <c r="F30" s="124">
        <f>SUM(D30*E30)</f>
        <v>17160197.399999999</v>
      </c>
      <c r="G30" s="165"/>
      <c r="H30" s="166" t="e">
        <v>#DIV/0!</v>
      </c>
      <c r="I30" s="167"/>
      <c r="J30" s="168"/>
      <c r="K30" s="124"/>
      <c r="L30" s="169"/>
      <c r="M30" s="170"/>
      <c r="N30" s="124"/>
      <c r="O30" s="492">
        <v>136</v>
      </c>
      <c r="P30" s="493">
        <f t="shared" si="1"/>
        <v>8041.1176470588234</v>
      </c>
      <c r="Q30" s="494">
        <v>1093592</v>
      </c>
      <c r="R30" s="118"/>
      <c r="S30" s="497"/>
      <c r="T30" s="497"/>
      <c r="U30" s="497"/>
      <c r="V30" s="497"/>
      <c r="W30" s="497"/>
      <c r="X30" s="497"/>
      <c r="Y30" s="498"/>
    </row>
    <row r="31" spans="2:25" s="118" customFormat="1" ht="22.5" customHeight="1">
      <c r="B31" s="120"/>
      <c r="C31" s="133" t="s">
        <v>1274</v>
      </c>
      <c r="D31" s="141">
        <v>251.256</v>
      </c>
      <c r="E31" s="135">
        <v>6917.13</v>
      </c>
      <c r="F31" s="112">
        <f>SUM(E31*D31)</f>
        <v>1737970.4152800001</v>
      </c>
      <c r="G31" s="149"/>
      <c r="H31" s="150"/>
      <c r="I31" s="151"/>
      <c r="J31" s="151"/>
      <c r="K31" s="152"/>
      <c r="L31" s="172"/>
      <c r="M31" s="173"/>
      <c r="N31" s="152"/>
      <c r="O31" s="141">
        <v>255</v>
      </c>
      <c r="P31" s="111">
        <f t="shared" si="1"/>
        <v>8544</v>
      </c>
      <c r="Q31" s="112">
        <v>2178720</v>
      </c>
      <c r="S31" s="495"/>
      <c r="T31" s="495"/>
      <c r="U31" s="495"/>
      <c r="V31" s="495"/>
      <c r="W31" s="495"/>
      <c r="X31" s="495"/>
      <c r="Y31" s="496"/>
    </row>
    <row r="32" spans="2:25" s="118" customFormat="1" ht="22.5" customHeight="1">
      <c r="B32" s="120"/>
      <c r="C32" s="133"/>
      <c r="D32" s="141"/>
      <c r="E32" s="135"/>
      <c r="F32" s="112"/>
      <c r="G32" s="149"/>
      <c r="H32" s="150"/>
      <c r="I32" s="151"/>
      <c r="J32" s="151"/>
      <c r="K32" s="152"/>
      <c r="L32" s="172"/>
      <c r="M32" s="173"/>
      <c r="N32" s="152"/>
      <c r="O32" s="155">
        <v>75</v>
      </c>
      <c r="P32" s="111">
        <f t="shared" si="1"/>
        <v>8646.68</v>
      </c>
      <c r="Q32" s="112">
        <v>648501</v>
      </c>
      <c r="S32" s="495"/>
      <c r="T32" s="495"/>
      <c r="U32" s="495"/>
      <c r="V32" s="495"/>
      <c r="W32" s="495"/>
      <c r="X32" s="495"/>
      <c r="Y32" s="496"/>
    </row>
    <row r="33" spans="1:24" s="118" customFormat="1" ht="21" customHeight="1">
      <c r="B33" s="120"/>
      <c r="C33" s="133" t="s">
        <v>1274</v>
      </c>
      <c r="D33" s="141">
        <v>257.54000000000002</v>
      </c>
      <c r="E33" s="135">
        <v>9338.1299999999992</v>
      </c>
      <c r="F33" s="112">
        <f>SUM(E33*D33)</f>
        <v>2404942.0002000001</v>
      </c>
      <c r="G33" s="172"/>
      <c r="H33" s="150"/>
      <c r="I33" s="151"/>
      <c r="J33" s="151"/>
      <c r="K33" s="174"/>
      <c r="L33" s="172"/>
      <c r="M33" s="173"/>
      <c r="N33" s="152"/>
      <c r="O33" s="175"/>
      <c r="P33" s="114"/>
      <c r="Q33" s="140"/>
      <c r="S33" s="119"/>
      <c r="T33" s="119"/>
      <c r="U33" s="119"/>
      <c r="V33" s="119"/>
      <c r="W33" s="119"/>
      <c r="X33" s="119"/>
    </row>
    <row r="34" spans="1:24" s="118" customFormat="1" ht="25.5" customHeight="1">
      <c r="B34" s="120"/>
      <c r="C34" s="133" t="s">
        <v>1274</v>
      </c>
      <c r="D34" s="141">
        <v>0</v>
      </c>
      <c r="E34" s="135">
        <v>0</v>
      </c>
      <c r="F34" s="112">
        <f>SUM(F31:F33)</f>
        <v>4142912.41548</v>
      </c>
      <c r="G34" s="172">
        <v>15784.171</v>
      </c>
      <c r="H34" s="150"/>
      <c r="I34" s="151"/>
      <c r="J34" s="116">
        <f>SUM(K34/G34)</f>
        <v>10757.195784308216</v>
      </c>
      <c r="K34" s="176">
        <v>169793417.74000001</v>
      </c>
      <c r="L34" s="172">
        <f>+D36+G34+G35-O34-O35</f>
        <v>13761.967000000002</v>
      </c>
      <c r="M34" s="116">
        <f>SUM(N34/L34)</f>
        <v>11108.299848717463</v>
      </c>
      <c r="N34" s="177">
        <f>+F36+K34+K35-Q34-Q35</f>
        <v>152872055.94415474</v>
      </c>
      <c r="O34" s="175">
        <f>SUM(O12:O32)</f>
        <v>3761</v>
      </c>
      <c r="P34" s="111"/>
      <c r="Q34" s="124">
        <f>SUM(Q12:Q32)</f>
        <v>38224471.421285272</v>
      </c>
      <c r="S34" s="119">
        <v>38416423</v>
      </c>
      <c r="T34" s="119">
        <f>+Q34-S34</f>
        <v>-191951.57871472836</v>
      </c>
      <c r="U34" s="119"/>
      <c r="V34" s="119"/>
      <c r="W34" s="119"/>
      <c r="X34" s="119"/>
    </row>
    <row r="35" spans="1:24" s="182" customFormat="1" ht="23.25" customHeight="1">
      <c r="A35" s="118"/>
      <c r="B35" s="120"/>
      <c r="C35" s="133" t="s">
        <v>1274</v>
      </c>
      <c r="D35" s="141"/>
      <c r="E35" s="135"/>
      <c r="F35" s="112"/>
      <c r="G35" s="172">
        <v>136.08000000000001</v>
      </c>
      <c r="H35" s="150"/>
      <c r="I35" s="151"/>
      <c r="J35" s="461"/>
      <c r="K35" s="176">
        <v>741466</v>
      </c>
      <c r="L35" s="172">
        <f>+D37+G35+G36-O35-O36</f>
        <v>0</v>
      </c>
      <c r="M35" s="462"/>
      <c r="N35" s="177">
        <f>+F37+K35+K36-Q35-Q36</f>
        <v>0</v>
      </c>
      <c r="O35" s="463">
        <v>136.08000000000001</v>
      </c>
      <c r="P35" s="464"/>
      <c r="Q35" s="465">
        <v>741466</v>
      </c>
      <c r="R35" s="118"/>
      <c r="S35" s="181"/>
      <c r="T35" s="181"/>
      <c r="U35" s="181"/>
      <c r="V35" s="181"/>
      <c r="W35" s="181"/>
      <c r="X35" s="181"/>
    </row>
    <row r="36" spans="1:24" s="182" customFormat="1" ht="18.75" customHeight="1">
      <c r="B36" s="178"/>
      <c r="C36" s="179"/>
      <c r="D36" s="175">
        <f>SUM(D30:D34)</f>
        <v>1738.796</v>
      </c>
      <c r="E36" s="123">
        <v>12251.64</v>
      </c>
      <c r="F36" s="176">
        <f>SUM(D36*E36)+7</f>
        <v>21303109.625439998</v>
      </c>
      <c r="G36" s="466"/>
      <c r="H36" s="126"/>
      <c r="I36" s="127"/>
      <c r="J36" s="180"/>
      <c r="K36" s="176">
        <v>0</v>
      </c>
      <c r="L36" s="169"/>
      <c r="M36" s="131"/>
      <c r="N36" s="174"/>
      <c r="O36" s="467"/>
      <c r="P36" s="464"/>
      <c r="Q36" s="468"/>
      <c r="R36" s="118">
        <v>0</v>
      </c>
      <c r="S36" s="181"/>
      <c r="T36" s="181"/>
      <c r="U36" s="181"/>
      <c r="V36" s="181"/>
      <c r="W36" s="181"/>
      <c r="X36" s="181"/>
    </row>
    <row r="37" spans="1:24" s="196" customFormat="1" ht="27" customHeight="1">
      <c r="A37" s="182"/>
      <c r="B37" s="178"/>
      <c r="C37" s="179"/>
      <c r="D37" s="169"/>
      <c r="E37" s="123"/>
      <c r="F37" s="174"/>
      <c r="G37" s="169">
        <v>0</v>
      </c>
      <c r="H37" s="183"/>
      <c r="I37" s="184"/>
      <c r="J37" s="184"/>
      <c r="K37" s="174">
        <v>0</v>
      </c>
      <c r="L37" s="169">
        <v>0</v>
      </c>
      <c r="M37" s="131">
        <v>0</v>
      </c>
      <c r="N37" s="174">
        <v>0</v>
      </c>
      <c r="O37" s="185">
        <v>0</v>
      </c>
      <c r="P37" s="186"/>
      <c r="Q37" s="187">
        <v>0</v>
      </c>
      <c r="R37" s="118">
        <f>F37+K37-N37</f>
        <v>0</v>
      </c>
      <c r="S37" s="119"/>
      <c r="T37" s="195"/>
      <c r="U37" s="195"/>
      <c r="V37" s="195"/>
      <c r="W37" s="195"/>
      <c r="X37" s="195"/>
    </row>
    <row r="38" spans="1:24" s="196" customFormat="1" ht="19.5" customHeight="1">
      <c r="B38" s="188"/>
      <c r="C38" s="189" t="s">
        <v>1275</v>
      </c>
      <c r="D38" s="190">
        <f>SUM(D10+D30+D31++D33)</f>
        <v>2148.7960000000003</v>
      </c>
      <c r="E38" s="123">
        <v>0</v>
      </c>
      <c r="F38" s="176">
        <f>SUM(F10+F30+F34)</f>
        <v>25958249.815479998</v>
      </c>
      <c r="G38" s="191">
        <f>SUM(G9+G34)</f>
        <v>39108.866000000002</v>
      </c>
      <c r="H38" s="192"/>
      <c r="I38" s="189"/>
      <c r="J38" s="189"/>
      <c r="K38" s="176">
        <f>SUM(K10+K30+K35+K34)</f>
        <v>408978446.74000001</v>
      </c>
      <c r="L38" s="191">
        <f>SUM(L9+L34)</f>
        <v>37069.662000000004</v>
      </c>
      <c r="M38" s="131"/>
      <c r="N38" s="176">
        <f>SUM(N10+N34)</f>
        <v>391045917.94415474</v>
      </c>
      <c r="O38" s="193">
        <f>SUM(O10+O34+O35)</f>
        <v>4324.08</v>
      </c>
      <c r="P38" s="142">
        <v>0</v>
      </c>
      <c r="Q38" s="194">
        <f>SUM(Q10+Q34+Q35)</f>
        <v>43890778.421285272</v>
      </c>
      <c r="R38" s="182"/>
      <c r="S38" s="119"/>
      <c r="T38" s="195"/>
      <c r="U38" s="195"/>
      <c r="V38" s="195"/>
      <c r="W38" s="195"/>
      <c r="X38" s="195"/>
    </row>
    <row r="39" spans="1:24" s="196" customFormat="1" ht="22.5" customHeight="1">
      <c r="B39" s="188"/>
      <c r="C39" s="197"/>
      <c r="D39" s="134"/>
      <c r="E39" s="135"/>
      <c r="F39" s="145"/>
      <c r="G39" s="134"/>
      <c r="H39" s="198"/>
      <c r="I39" s="199"/>
      <c r="J39" s="199"/>
      <c r="K39" s="156"/>
      <c r="L39" s="141"/>
      <c r="M39" s="142"/>
      <c r="N39" s="138"/>
      <c r="O39" s="155"/>
      <c r="P39" s="142"/>
      <c r="Q39" s="200"/>
      <c r="R39" s="182"/>
      <c r="S39" s="119"/>
      <c r="T39" s="195"/>
      <c r="U39" s="195"/>
      <c r="V39" s="195"/>
      <c r="W39" s="195"/>
      <c r="X39" s="195"/>
    </row>
    <row r="40" spans="1:24" s="196" customFormat="1" ht="20.25" customHeight="1">
      <c r="B40" s="201" t="s">
        <v>1276</v>
      </c>
      <c r="C40" s="197" t="s">
        <v>1277</v>
      </c>
      <c r="D40" s="134"/>
      <c r="E40" s="135"/>
      <c r="F40" s="202">
        <v>536457</v>
      </c>
      <c r="G40" s="134"/>
      <c r="H40" s="198"/>
      <c r="I40" s="199"/>
      <c r="J40" s="199"/>
      <c r="K40" s="156">
        <v>7664378</v>
      </c>
      <c r="L40" s="141"/>
      <c r="M40" s="142"/>
      <c r="N40" s="156">
        <v>7784929</v>
      </c>
      <c r="O40" s="155"/>
      <c r="P40" s="142"/>
      <c r="Q40" s="147">
        <v>415906</v>
      </c>
      <c r="R40" s="182"/>
      <c r="S40" s="119"/>
      <c r="T40" s="195"/>
      <c r="U40" s="195"/>
      <c r="V40" s="195"/>
      <c r="W40" s="195"/>
      <c r="X40" s="195"/>
    </row>
    <row r="41" spans="1:24" s="196" customFormat="1" ht="20.25" customHeight="1">
      <c r="B41" s="188"/>
      <c r="C41" s="197"/>
      <c r="D41" s="134"/>
      <c r="E41" s="135"/>
      <c r="F41" s="145"/>
      <c r="G41" s="134"/>
      <c r="H41" s="198"/>
      <c r="I41" s="199"/>
      <c r="J41" s="199"/>
      <c r="K41" s="156"/>
      <c r="L41" s="141"/>
      <c r="M41" s="142"/>
      <c r="N41" s="138"/>
      <c r="O41" s="155"/>
      <c r="P41" s="142"/>
      <c r="Q41" s="200"/>
      <c r="R41" s="182"/>
      <c r="S41" s="119"/>
      <c r="T41" s="195"/>
      <c r="U41" s="195"/>
      <c r="V41" s="195"/>
      <c r="W41" s="195"/>
      <c r="X41" s="195"/>
    </row>
    <row r="42" spans="1:24" s="196" customFormat="1" ht="21" customHeight="1">
      <c r="B42" s="188" t="s">
        <v>1278</v>
      </c>
      <c r="C42" s="197" t="s">
        <v>1279</v>
      </c>
      <c r="D42" s="134"/>
      <c r="E42" s="135"/>
      <c r="F42" s="202">
        <v>2569296</v>
      </c>
      <c r="G42" s="134"/>
      <c r="H42" s="198"/>
      <c r="I42" s="199"/>
      <c r="J42" s="199"/>
      <c r="K42" s="156">
        <v>42179853.75</v>
      </c>
      <c r="L42" s="141"/>
      <c r="M42" s="142"/>
      <c r="N42" s="156">
        <f>+F42+K42-Q42</f>
        <v>41830145.75</v>
      </c>
      <c r="O42" s="155"/>
      <c r="P42" s="142"/>
      <c r="Q42" s="147">
        <v>2919004</v>
      </c>
      <c r="R42" s="182"/>
      <c r="S42" s="119"/>
      <c r="T42" s="195"/>
      <c r="U42" s="195"/>
      <c r="V42" s="195"/>
      <c r="W42" s="195"/>
      <c r="X42" s="195"/>
    </row>
    <row r="43" spans="1:24" s="196" customFormat="1" ht="21" customHeight="1">
      <c r="B43" s="188"/>
      <c r="C43" s="203" t="s">
        <v>1280</v>
      </c>
      <c r="D43" s="134"/>
      <c r="E43" s="135"/>
      <c r="F43" s="145"/>
      <c r="G43" s="134"/>
      <c r="H43" s="198"/>
      <c r="I43" s="199"/>
      <c r="J43" s="199"/>
      <c r="K43" s="156"/>
      <c r="L43" s="141"/>
      <c r="M43" s="142"/>
      <c r="N43" s="204">
        <v>0</v>
      </c>
      <c r="O43" s="155"/>
      <c r="P43" s="142"/>
      <c r="Q43" s="147"/>
      <c r="R43" s="182"/>
      <c r="S43" s="119"/>
      <c r="T43" s="195"/>
      <c r="U43" s="195"/>
      <c r="V43" s="195"/>
      <c r="W43" s="195"/>
      <c r="X43" s="195"/>
    </row>
    <row r="44" spans="1:24" s="196" customFormat="1" ht="22.5" customHeight="1">
      <c r="B44" s="188"/>
      <c r="C44" s="203"/>
      <c r="D44" s="134"/>
      <c r="E44" s="135"/>
      <c r="F44" s="205"/>
      <c r="G44" s="134"/>
      <c r="H44" s="198"/>
      <c r="I44" s="199"/>
      <c r="J44" s="199"/>
      <c r="K44" s="156"/>
      <c r="L44" s="141"/>
      <c r="M44" s="206"/>
      <c r="N44" s="204"/>
      <c r="O44" s="155"/>
      <c r="P44" s="206"/>
      <c r="Q44" s="200"/>
      <c r="R44" s="182"/>
      <c r="S44" s="119"/>
      <c r="T44" s="195"/>
      <c r="U44" s="195"/>
      <c r="V44" s="195"/>
      <c r="W44" s="195"/>
      <c r="X44" s="195"/>
    </row>
    <row r="45" spans="1:24" s="196" customFormat="1" ht="19.5" customHeight="1">
      <c r="B45" s="188" t="s">
        <v>1281</v>
      </c>
      <c r="C45" s="197" t="s">
        <v>1282</v>
      </c>
      <c r="D45" s="134">
        <v>380</v>
      </c>
      <c r="E45" s="135">
        <v>3327.73</v>
      </c>
      <c r="F45" s="124">
        <f t="shared" ref="F45" si="2">SUM(E45*D45)</f>
        <v>1264537.3999999999</v>
      </c>
      <c r="G45" s="141">
        <v>13897.424999999999</v>
      </c>
      <c r="H45" s="198"/>
      <c r="I45" s="199"/>
      <c r="J45" s="116">
        <f>SUM(K45/G45)</f>
        <v>4431.3162330431715</v>
      </c>
      <c r="K45" s="156">
        <v>61583885</v>
      </c>
      <c r="L45" s="141">
        <v>13717.424999999999</v>
      </c>
      <c r="M45" s="116">
        <f>SUM(N45/L45)</f>
        <v>4411.0351614825668</v>
      </c>
      <c r="N45" s="156">
        <v>60508044</v>
      </c>
      <c r="O45" s="155">
        <v>560</v>
      </c>
      <c r="P45" s="116">
        <f>SUM(Q45/O45)</f>
        <v>4179.2464285714286</v>
      </c>
      <c r="Q45" s="147">
        <v>2340378</v>
      </c>
      <c r="R45" s="182"/>
      <c r="S45" s="119"/>
      <c r="T45" s="195"/>
      <c r="U45" s="195"/>
      <c r="V45" s="195"/>
      <c r="W45" s="195"/>
      <c r="X45" s="195"/>
    </row>
    <row r="46" spans="1:24" s="196" customFormat="1" ht="24" customHeight="1">
      <c r="B46" s="188"/>
      <c r="C46" s="197"/>
      <c r="D46" s="134"/>
      <c r="E46" s="135"/>
      <c r="F46" s="145"/>
      <c r="G46" s="134"/>
      <c r="H46" s="207"/>
      <c r="I46" s="208"/>
      <c r="J46" s="208"/>
      <c r="K46" s="156"/>
      <c r="L46" s="141"/>
      <c r="M46" s="142"/>
      <c r="N46" s="138"/>
      <c r="O46" s="155"/>
      <c r="P46" s="198"/>
      <c r="Q46" s="200"/>
      <c r="R46" s="213">
        <v>0</v>
      </c>
      <c r="S46" s="119"/>
      <c r="T46" s="195"/>
      <c r="U46" s="195"/>
      <c r="V46" s="195"/>
      <c r="W46" s="195"/>
      <c r="X46" s="195"/>
    </row>
    <row r="47" spans="1:24" s="196" customFormat="1" ht="21.75" customHeight="1">
      <c r="B47" s="188"/>
      <c r="C47" s="164" t="s">
        <v>1283</v>
      </c>
      <c r="D47" s="209"/>
      <c r="E47" s="135"/>
      <c r="F47" s="176">
        <f>SUM(F38:F46)+1</f>
        <v>30328541.215479996</v>
      </c>
      <c r="G47" s="209"/>
      <c r="H47" s="131"/>
      <c r="I47" s="210"/>
      <c r="J47" s="210"/>
      <c r="K47" s="176">
        <f>SUM(K38:K46)</f>
        <v>520406563.49000001</v>
      </c>
      <c r="L47" s="211"/>
      <c r="M47" s="210"/>
      <c r="N47" s="176">
        <f>SUM(N38:N46)</f>
        <v>501169036.69415474</v>
      </c>
      <c r="O47" s="211"/>
      <c r="P47" s="131"/>
      <c r="Q47" s="212">
        <f>SUM(Q38:Q45)</f>
        <v>49566066.421285272</v>
      </c>
      <c r="R47" s="182"/>
      <c r="S47" s="119"/>
      <c r="T47" s="195"/>
      <c r="U47" s="195"/>
      <c r="V47" s="195"/>
      <c r="W47" s="195"/>
      <c r="X47" s="195"/>
    </row>
    <row r="48" spans="1:24" s="196" customFormat="1" ht="21" customHeight="1">
      <c r="B48" s="188"/>
      <c r="C48" s="197"/>
      <c r="D48" s="134"/>
      <c r="E48" s="135"/>
      <c r="F48" s="145"/>
      <c r="G48" s="134"/>
      <c r="H48" s="150"/>
      <c r="I48" s="151"/>
      <c r="J48" s="151"/>
      <c r="K48" s="214"/>
      <c r="L48" s="155"/>
      <c r="M48" s="198"/>
      <c r="N48" s="200"/>
      <c r="O48" s="155"/>
      <c r="P48" s="198"/>
      <c r="Q48" s="200"/>
      <c r="R48" s="182"/>
      <c r="S48" s="119"/>
      <c r="T48" s="195"/>
      <c r="U48" s="195"/>
      <c r="V48" s="195"/>
      <c r="W48" s="195"/>
      <c r="X48" s="195"/>
    </row>
    <row r="49" spans="1:24" s="196" customFormat="1" ht="19.5" customHeight="1">
      <c r="B49" s="188" t="s">
        <v>1284</v>
      </c>
      <c r="C49" s="197" t="s">
        <v>1285</v>
      </c>
      <c r="D49" s="141">
        <v>648.89300000000003</v>
      </c>
      <c r="E49" s="135">
        <v>20863.61</v>
      </c>
      <c r="F49" s="124">
        <f>SUM(E49*D49)+2</f>
        <v>13538252.483730001</v>
      </c>
      <c r="G49" s="134">
        <v>0</v>
      </c>
      <c r="H49" s="198"/>
      <c r="I49" s="215"/>
      <c r="J49" s="215"/>
      <c r="K49" s="162"/>
      <c r="L49" s="155"/>
      <c r="M49" s="198"/>
      <c r="N49" s="200"/>
      <c r="O49" s="155">
        <v>416.44099999999997</v>
      </c>
      <c r="P49" s="116">
        <f>SUM(Q49/O49)</f>
        <v>18853.93723166304</v>
      </c>
      <c r="Q49" s="124">
        <f>+'Closing Stock Valuation'!G35</f>
        <v>7851552.4746909877</v>
      </c>
      <c r="R49" s="182"/>
      <c r="S49" s="119"/>
      <c r="T49" s="195"/>
      <c r="U49" s="195"/>
      <c r="V49" s="195"/>
      <c r="W49" s="195"/>
      <c r="X49" s="195"/>
    </row>
    <row r="50" spans="1:24" s="196" customFormat="1" ht="21" customHeight="1">
      <c r="B50" s="188"/>
      <c r="C50" s="197"/>
      <c r="D50" s="134"/>
      <c r="E50" s="135"/>
      <c r="F50" s="145"/>
      <c r="G50" s="134"/>
      <c r="H50" s="198"/>
      <c r="I50" s="199"/>
      <c r="J50" s="210"/>
      <c r="K50" s="156">
        <v>0</v>
      </c>
      <c r="L50" s="155"/>
      <c r="M50" s="198"/>
      <c r="N50" s="200"/>
      <c r="O50" s="155"/>
      <c r="P50" s="198"/>
      <c r="Q50" s="147"/>
      <c r="R50" s="182"/>
      <c r="S50" s="119"/>
      <c r="T50" s="195"/>
      <c r="U50" s="195"/>
      <c r="V50" s="195"/>
      <c r="W50" s="195"/>
      <c r="X50" s="195"/>
    </row>
    <row r="51" spans="1:24" s="196" customFormat="1" ht="22.5" customHeight="1">
      <c r="B51" s="188" t="s">
        <v>1286</v>
      </c>
      <c r="C51" s="197" t="s">
        <v>1287</v>
      </c>
      <c r="D51" s="116"/>
      <c r="E51" s="135"/>
      <c r="F51" s="202">
        <v>7318133</v>
      </c>
      <c r="G51" s="116"/>
      <c r="H51" s="216"/>
      <c r="I51" s="197"/>
      <c r="J51" s="197"/>
      <c r="K51" s="217"/>
      <c r="L51" s="218"/>
      <c r="M51" s="216"/>
      <c r="N51" s="200"/>
      <c r="O51" s="218"/>
      <c r="P51" s="216"/>
      <c r="Q51" s="124">
        <v>10405893</v>
      </c>
      <c r="R51" s="182"/>
      <c r="S51" s="119"/>
      <c r="T51" s="195"/>
      <c r="U51" s="195"/>
      <c r="V51" s="195"/>
      <c r="W51" s="195"/>
      <c r="X51" s="195"/>
    </row>
    <row r="52" spans="1:24" s="236" customFormat="1" ht="27" customHeight="1" thickBot="1">
      <c r="A52" s="196"/>
      <c r="B52" s="219"/>
      <c r="C52" s="220"/>
      <c r="D52" s="219"/>
      <c r="E52" s="221"/>
      <c r="F52" s="222"/>
      <c r="G52" s="223"/>
      <c r="H52" s="224"/>
      <c r="I52" s="225"/>
      <c r="J52" s="225"/>
      <c r="K52" s="226"/>
      <c r="L52" s="227"/>
      <c r="M52" s="221"/>
      <c r="N52" s="222"/>
      <c r="O52" s="227"/>
      <c r="P52" s="221"/>
      <c r="Q52" s="222"/>
      <c r="R52" s="118"/>
      <c r="S52" s="119"/>
      <c r="T52" s="235"/>
      <c r="U52" s="235"/>
      <c r="V52" s="235"/>
      <c r="W52" s="235"/>
      <c r="X52" s="235"/>
    </row>
    <row r="53" spans="1:24" s="236" customFormat="1" ht="19.5" thickBot="1">
      <c r="B53" s="228"/>
      <c r="C53" s="229" t="s">
        <v>1288</v>
      </c>
      <c r="D53" s="230"/>
      <c r="E53" s="231"/>
      <c r="F53" s="232">
        <f>SUM(F47:F52)</f>
        <v>51184926.699209996</v>
      </c>
      <c r="G53" s="230"/>
      <c r="H53" s="229">
        <v>0</v>
      </c>
      <c r="I53" s="229"/>
      <c r="J53" s="229"/>
      <c r="K53" s="232">
        <f>SUM(K47:K52)</f>
        <v>520406563.49000001</v>
      </c>
      <c r="L53" s="233">
        <v>0</v>
      </c>
      <c r="M53" s="229"/>
      <c r="N53" s="232">
        <f>SUM(N47:N52)</f>
        <v>501169036.69415474</v>
      </c>
      <c r="O53" s="233"/>
      <c r="P53" s="229"/>
      <c r="Q53" s="234">
        <f>SUM(Q47:Q52)</f>
        <v>67823511.89597626</v>
      </c>
      <c r="S53" s="119"/>
      <c r="T53" s="235"/>
      <c r="U53" s="235"/>
      <c r="V53" s="235"/>
      <c r="W53" s="235"/>
      <c r="X53" s="235"/>
    </row>
    <row r="54" spans="1:24" s="236" customFormat="1" ht="15">
      <c r="B54" s="237"/>
      <c r="C54" s="237"/>
      <c r="D54" s="237"/>
      <c r="E54" s="237"/>
      <c r="F54" s="237"/>
      <c r="G54" s="237"/>
      <c r="H54" s="237"/>
      <c r="I54" s="237"/>
      <c r="J54" s="237"/>
      <c r="K54" s="237"/>
      <c r="L54" s="238"/>
      <c r="M54" s="237"/>
      <c r="N54" s="237"/>
      <c r="O54" s="238"/>
      <c r="P54" s="237"/>
      <c r="Q54" s="239"/>
      <c r="S54" s="119"/>
      <c r="T54" s="235"/>
      <c r="U54" s="235"/>
      <c r="V54" s="235"/>
      <c r="W54" s="235"/>
      <c r="X54" s="235"/>
    </row>
    <row r="55" spans="1:24" s="240" customFormat="1">
      <c r="F55" s="240" t="s">
        <v>1282</v>
      </c>
      <c r="G55" s="240">
        <v>6929.6</v>
      </c>
      <c r="H55" s="241"/>
      <c r="I55" s="241"/>
      <c r="J55" s="241"/>
      <c r="K55" s="242"/>
      <c r="L55" s="243"/>
      <c r="O55" s="243"/>
      <c r="Q55" s="244"/>
    </row>
    <row r="56" spans="1:24" s="240" customFormat="1">
      <c r="L56" s="243"/>
      <c r="O56" s="243"/>
    </row>
    <row r="57" spans="1:24" s="240" customFormat="1">
      <c r="F57" s="240" t="s">
        <v>1289</v>
      </c>
      <c r="G57" s="245">
        <v>14082.69</v>
      </c>
      <c r="H57" s="245">
        <v>14776.699337981592</v>
      </c>
      <c r="I57" s="245"/>
      <c r="J57" s="245"/>
      <c r="K57" s="245">
        <v>208095676</v>
      </c>
      <c r="L57" s="243"/>
      <c r="N57" s="240" t="s">
        <v>1290</v>
      </c>
      <c r="O57" s="243"/>
      <c r="Q57" s="240">
        <v>50731860</v>
      </c>
    </row>
    <row r="58" spans="1:24" s="240" customFormat="1">
      <c r="G58" s="240" t="s">
        <v>1291</v>
      </c>
      <c r="H58" s="246" t="s">
        <v>1292</v>
      </c>
      <c r="I58" s="246"/>
      <c r="J58" s="246"/>
      <c r="K58" s="240" t="s">
        <v>1293</v>
      </c>
      <c r="L58" s="243"/>
      <c r="O58" s="243"/>
    </row>
    <row r="59" spans="1:24" s="240" customFormat="1">
      <c r="E59" s="247" t="s">
        <v>1271</v>
      </c>
      <c r="G59" s="240">
        <v>206705257</v>
      </c>
      <c r="H59" s="246">
        <v>304610423</v>
      </c>
      <c r="I59" s="246"/>
      <c r="J59" s="246"/>
      <c r="K59" s="240">
        <v>-97905166</v>
      </c>
      <c r="L59" s="243"/>
      <c r="N59" s="240" t="s">
        <v>1293</v>
      </c>
      <c r="O59" s="243"/>
      <c r="Q59" s="240">
        <v>4746766</v>
      </c>
    </row>
    <row r="60" spans="1:24" s="240" customFormat="1">
      <c r="E60" s="240" t="s">
        <v>1273</v>
      </c>
      <c r="G60" s="240">
        <v>0</v>
      </c>
      <c r="H60" s="240">
        <v>127735752</v>
      </c>
      <c r="K60" s="240">
        <v>-127735752</v>
      </c>
      <c r="L60" s="243"/>
      <c r="O60" s="243"/>
    </row>
    <row r="61" spans="1:24" s="240" customFormat="1">
      <c r="E61" s="240" t="s">
        <v>1277</v>
      </c>
      <c r="G61" s="240">
        <v>5874950</v>
      </c>
      <c r="H61" s="240">
        <v>6051385</v>
      </c>
      <c r="K61" s="240">
        <v>-176435</v>
      </c>
      <c r="L61" s="243"/>
      <c r="O61" s="243"/>
    </row>
    <row r="62" spans="1:24" s="240" customFormat="1">
      <c r="E62" s="248" t="s">
        <v>1279</v>
      </c>
      <c r="G62" s="240">
        <v>39627524</v>
      </c>
      <c r="H62" s="240">
        <v>37472868</v>
      </c>
      <c r="K62" s="240">
        <v>2154656</v>
      </c>
      <c r="L62" s="243"/>
      <c r="O62" s="243"/>
    </row>
    <row r="63" spans="1:24" s="240" customFormat="1">
      <c r="E63" s="248" t="s">
        <v>1294</v>
      </c>
      <c r="G63" s="240">
        <v>46546231</v>
      </c>
      <c r="H63" s="240">
        <v>48368767</v>
      </c>
      <c r="K63" s="240">
        <v>-1822536</v>
      </c>
      <c r="L63" s="243"/>
      <c r="O63" s="243"/>
    </row>
    <row r="64" spans="1:24" s="240" customFormat="1">
      <c r="E64" s="240" t="s">
        <v>1285</v>
      </c>
      <c r="K64" s="240">
        <v>0</v>
      </c>
      <c r="L64" s="243"/>
      <c r="O64" s="243"/>
    </row>
    <row r="65" spans="5:15" s="240" customFormat="1">
      <c r="E65" s="240" t="s">
        <v>1287</v>
      </c>
      <c r="K65" s="240">
        <v>0</v>
      </c>
      <c r="L65" s="243"/>
      <c r="O65" s="243"/>
    </row>
    <row r="66" spans="5:15" s="240" customFormat="1">
      <c r="G66" s="240">
        <v>298753962</v>
      </c>
      <c r="H66" s="240">
        <v>524239195</v>
      </c>
      <c r="K66" s="240">
        <v>-225485233</v>
      </c>
      <c r="L66" s="243"/>
      <c r="O66" s="243"/>
    </row>
    <row r="67" spans="5:15" s="240" customFormat="1">
      <c r="L67" s="243"/>
      <c r="O67" s="243"/>
    </row>
    <row r="68" spans="5:15" s="240" customFormat="1">
      <c r="L68" s="243"/>
      <c r="O68" s="243"/>
    </row>
  </sheetData>
  <customSheetViews>
    <customSheetView guid="{F039C147-8083-49A0-B541-A610A15BA793}" scale="62" showPageBreaks="1" printArea="1" hiddenRows="1" view="pageBreakPreview" topLeftCell="A30">
      <selection activeCell="P49" sqref="P49"/>
      <pageMargins left="0.19685039370078741" right="0.19685039370078741" top="0.39370078740157483" bottom="0.19685039370078741" header="0.31496062992125984" footer="0.31496062992125984"/>
      <pageSetup paperSize="5" scale="62" orientation="landscape" r:id="rId1"/>
    </customSheetView>
    <customSheetView guid="{F140806D-66CA-4A66-855A-CCBDE7D69760}" scale="62" showPageBreaks="1" printArea="1" hiddenRows="1" view="pageBreakPreview" topLeftCell="D13">
      <selection activeCell="O30" sqref="O30:Q30"/>
      <colBreaks count="1" manualBreakCount="1">
        <brk id="17" max="52" man="1"/>
      </colBreaks>
      <pageMargins left="0.19685039370078741" right="0.19685039370078741" top="0.39370078740157483" bottom="0.19685039370078741" header="0.31496062992125984" footer="0.31496062992125984"/>
      <pageSetup paperSize="5" scale="59" orientation="landscape" r:id="rId2"/>
    </customSheetView>
  </customSheetViews>
  <mergeCells count="9">
    <mergeCell ref="B1:Q1"/>
    <mergeCell ref="B2:Q2"/>
    <mergeCell ref="G5:K6"/>
    <mergeCell ref="B7:B8"/>
    <mergeCell ref="C7:C8"/>
    <mergeCell ref="D7:F7"/>
    <mergeCell ref="G7:K7"/>
    <mergeCell ref="L7:N7"/>
    <mergeCell ref="O7:Q7"/>
  </mergeCells>
  <conditionalFormatting sqref="H55:J55">
    <cfRule type="duplicateValues" dxfId="10" priority="1"/>
  </conditionalFormatting>
  <pageMargins left="0.19685039370078741" right="0.19685039370078741" top="0.39370078740157483" bottom="0.19685039370078741" header="0.31496062992125984" footer="0.31496062992125984"/>
  <pageSetup paperSize="5" scale="55" orientation="landscape"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7"/>
  <sheetViews>
    <sheetView topLeftCell="A16" zoomScale="85" workbookViewId="0">
      <selection activeCell="H26" sqref="H26"/>
    </sheetView>
  </sheetViews>
  <sheetFormatPr defaultRowHeight="15"/>
  <cols>
    <col min="1" max="3" width="9.140625" style="19"/>
    <col min="4" max="4" width="16.5703125" style="19" customWidth="1"/>
    <col min="5" max="5" width="1.42578125" style="19" customWidth="1"/>
    <col min="6" max="6" width="14.28515625" style="19" customWidth="1"/>
    <col min="7" max="7" width="14.140625" style="19" customWidth="1"/>
    <col min="8" max="8" width="14.42578125" style="19" customWidth="1"/>
    <col min="9" max="9" width="16.140625" style="19" customWidth="1"/>
    <col min="10" max="10" width="16.28515625" style="19" bestFit="1" customWidth="1"/>
    <col min="11" max="12" width="14.42578125" style="19" bestFit="1" customWidth="1"/>
    <col min="13" max="14" width="13.42578125" style="19" bestFit="1" customWidth="1"/>
    <col min="15" max="15" width="9.140625" style="19"/>
    <col min="16" max="16" width="28.42578125" style="19" bestFit="1" customWidth="1"/>
    <col min="17" max="17" width="12.140625" style="19" bestFit="1" customWidth="1"/>
    <col min="18" max="18" width="27.5703125" style="19" bestFit="1" customWidth="1"/>
    <col min="19" max="19" width="12.140625" style="19" bestFit="1" customWidth="1"/>
    <col min="20" max="20" width="10.5703125" style="19" bestFit="1" customWidth="1"/>
    <col min="21" max="16384" width="9.140625" style="19"/>
  </cols>
  <sheetData>
    <row r="1" spans="1:12" ht="15.75">
      <c r="A1" s="579" t="s">
        <v>1338</v>
      </c>
      <c r="B1" s="580"/>
      <c r="C1" s="580"/>
      <c r="D1" s="580"/>
      <c r="E1" s="580"/>
      <c r="F1" s="581" t="s">
        <v>1339</v>
      </c>
      <c r="G1" s="582" t="s">
        <v>1340</v>
      </c>
      <c r="H1" s="582"/>
      <c r="I1" s="582"/>
      <c r="J1" s="582"/>
      <c r="K1" s="579"/>
      <c r="L1" s="583"/>
    </row>
    <row r="2" spans="1:12" ht="15.75">
      <c r="A2" s="584"/>
      <c r="B2" s="585"/>
      <c r="C2" s="585"/>
      <c r="D2" s="585"/>
      <c r="E2" s="585"/>
      <c r="F2" s="586"/>
      <c r="G2" s="587"/>
      <c r="H2" s="587"/>
      <c r="I2" s="587"/>
      <c r="J2" s="587"/>
      <c r="K2" s="584"/>
      <c r="L2" s="588"/>
    </row>
    <row r="3" spans="1:12" ht="15.75">
      <c r="A3" s="584" t="s">
        <v>1341</v>
      </c>
      <c r="B3" s="585"/>
      <c r="C3" s="585"/>
      <c r="D3" s="585"/>
      <c r="E3" s="585"/>
      <c r="F3" s="589" t="s">
        <v>1339</v>
      </c>
      <c r="G3" s="587" t="s">
        <v>1342</v>
      </c>
      <c r="H3" s="587"/>
      <c r="I3" s="587"/>
      <c r="J3" s="587"/>
      <c r="K3" s="584"/>
      <c r="L3" s="588"/>
    </row>
    <row r="4" spans="1:12" ht="15.75">
      <c r="A4" s="584"/>
      <c r="B4" s="585"/>
      <c r="C4" s="585"/>
      <c r="D4" s="585"/>
      <c r="E4" s="585"/>
      <c r="F4" s="586"/>
      <c r="G4" s="587" t="s">
        <v>1343</v>
      </c>
      <c r="H4" s="587"/>
      <c r="I4" s="587"/>
      <c r="J4" s="587"/>
      <c r="K4" s="584"/>
      <c r="L4" s="588"/>
    </row>
    <row r="5" spans="1:12" ht="15.75">
      <c r="A5" s="584"/>
      <c r="B5" s="585"/>
      <c r="C5" s="585"/>
      <c r="D5" s="585"/>
      <c r="E5" s="585"/>
      <c r="F5" s="586"/>
      <c r="G5" s="587" t="s">
        <v>1344</v>
      </c>
      <c r="H5" s="587"/>
      <c r="I5" s="587"/>
      <c r="J5" s="587"/>
      <c r="K5" s="584"/>
      <c r="L5" s="588"/>
    </row>
    <row r="6" spans="1:12" ht="15.75">
      <c r="A6" s="584"/>
      <c r="B6" s="585"/>
      <c r="C6" s="585"/>
      <c r="D6" s="585"/>
      <c r="E6" s="585"/>
      <c r="F6" s="586"/>
      <c r="G6" s="587" t="s">
        <v>1345</v>
      </c>
      <c r="H6" s="587"/>
      <c r="I6" s="587"/>
      <c r="J6" s="587"/>
      <c r="K6" s="584"/>
      <c r="L6" s="588"/>
    </row>
    <row r="7" spans="1:12" ht="15.75">
      <c r="A7" s="584"/>
      <c r="B7" s="585"/>
      <c r="C7" s="585"/>
      <c r="D7" s="585"/>
      <c r="E7" s="585"/>
      <c r="F7" s="586"/>
      <c r="G7" s="587"/>
      <c r="H7" s="587"/>
      <c r="I7" s="587"/>
      <c r="J7" s="587"/>
      <c r="K7" s="584"/>
      <c r="L7" s="588"/>
    </row>
    <row r="8" spans="1:12" ht="15.75">
      <c r="A8" s="584" t="s">
        <v>1346</v>
      </c>
      <c r="B8" s="585"/>
      <c r="C8" s="585"/>
      <c r="D8" s="585"/>
      <c r="E8" s="585"/>
      <c r="F8" s="589" t="s">
        <v>1339</v>
      </c>
      <c r="G8" s="587" t="s">
        <v>1347</v>
      </c>
      <c r="H8" s="587"/>
      <c r="I8" s="587"/>
      <c r="J8" s="587"/>
      <c r="K8" s="584"/>
      <c r="L8" s="588"/>
    </row>
    <row r="9" spans="1:12" ht="15.75">
      <c r="A9" s="584"/>
      <c r="B9" s="585"/>
      <c r="C9" s="585"/>
      <c r="D9" s="585"/>
      <c r="E9" s="585"/>
      <c r="F9" s="586"/>
      <c r="G9" s="587"/>
      <c r="H9" s="587"/>
      <c r="I9" s="587"/>
      <c r="J9" s="587"/>
      <c r="K9" s="584"/>
      <c r="L9" s="588"/>
    </row>
    <row r="10" spans="1:12" ht="15.75">
      <c r="A10" s="584" t="s">
        <v>1348</v>
      </c>
      <c r="B10" s="585"/>
      <c r="C10" s="585"/>
      <c r="D10" s="585"/>
      <c r="E10" s="585"/>
      <c r="F10" s="589" t="s">
        <v>1339</v>
      </c>
      <c r="G10" s="587" t="s">
        <v>543</v>
      </c>
      <c r="H10" s="587"/>
      <c r="I10" s="587"/>
      <c r="J10" s="587"/>
      <c r="K10" s="584"/>
      <c r="L10" s="588"/>
    </row>
    <row r="11" spans="1:12" ht="15.75">
      <c r="A11" s="584"/>
      <c r="B11" s="585"/>
      <c r="C11" s="585"/>
      <c r="D11" s="585"/>
      <c r="E11" s="585"/>
      <c r="F11" s="586"/>
      <c r="G11" s="587"/>
      <c r="H11" s="587"/>
      <c r="I11" s="587"/>
      <c r="J11" s="587"/>
      <c r="K11" s="584"/>
      <c r="L11" s="588"/>
    </row>
    <row r="12" spans="1:12" ht="15.75">
      <c r="A12" s="584" t="s">
        <v>1349</v>
      </c>
      <c r="B12" s="585"/>
      <c r="C12" s="585"/>
      <c r="D12" s="585"/>
      <c r="E12" s="585"/>
      <c r="F12" s="589" t="s">
        <v>1339</v>
      </c>
      <c r="G12" s="587" t="s">
        <v>1248</v>
      </c>
      <c r="H12" s="587"/>
      <c r="I12" s="587"/>
      <c r="J12" s="587"/>
      <c r="K12" s="584"/>
      <c r="L12" s="588"/>
    </row>
    <row r="13" spans="1:12" ht="15.75">
      <c r="A13" s="584"/>
      <c r="B13" s="585"/>
      <c r="C13" s="585"/>
      <c r="D13" s="585"/>
      <c r="E13" s="585"/>
      <c r="F13" s="586"/>
      <c r="G13" s="587"/>
      <c r="H13" s="587"/>
      <c r="I13" s="587"/>
      <c r="J13" s="587"/>
      <c r="K13" s="584"/>
      <c r="L13" s="588"/>
    </row>
    <row r="14" spans="1:12" ht="15.75">
      <c r="A14" s="584" t="s">
        <v>1350</v>
      </c>
      <c r="B14" s="585"/>
      <c r="C14" s="585"/>
      <c r="D14" s="585"/>
      <c r="E14" s="585"/>
      <c r="F14" s="589" t="s">
        <v>1339</v>
      </c>
      <c r="G14" s="587" t="s">
        <v>1351</v>
      </c>
      <c r="H14" s="587"/>
      <c r="I14" s="587"/>
      <c r="J14" s="587"/>
      <c r="K14" s="584"/>
      <c r="L14" s="588"/>
    </row>
    <row r="15" spans="1:12" ht="15.75">
      <c r="A15" s="584"/>
      <c r="B15" s="585"/>
      <c r="C15" s="585"/>
      <c r="D15" s="585"/>
      <c r="E15" s="585"/>
      <c r="F15" s="586"/>
      <c r="G15" s="587"/>
      <c r="H15" s="587"/>
      <c r="I15" s="587"/>
      <c r="J15" s="587"/>
      <c r="K15" s="584"/>
      <c r="L15" s="588"/>
    </row>
    <row r="16" spans="1:12" ht="15.75">
      <c r="A16" s="584" t="s">
        <v>1352</v>
      </c>
      <c r="B16" s="585"/>
      <c r="C16" s="585"/>
      <c r="D16" s="585"/>
      <c r="E16" s="585"/>
      <c r="F16" s="589" t="s">
        <v>1339</v>
      </c>
      <c r="G16" s="587" t="s">
        <v>1353</v>
      </c>
      <c r="H16" s="587"/>
      <c r="I16" s="587"/>
      <c r="J16" s="587"/>
      <c r="K16" s="584"/>
      <c r="L16" s="588"/>
    </row>
    <row r="17" spans="1:18" ht="15.75">
      <c r="A17" s="590"/>
      <c r="B17" s="586"/>
      <c r="C17" s="586"/>
      <c r="D17" s="586"/>
      <c r="E17" s="586"/>
      <c r="F17" s="586"/>
      <c r="G17" s="586"/>
      <c r="H17" s="277"/>
      <c r="I17" s="277"/>
      <c r="J17" s="277"/>
      <c r="K17" s="279"/>
      <c r="L17" s="591"/>
    </row>
    <row r="18" spans="1:18" ht="15.75" customHeight="1">
      <c r="A18" s="1545" t="s">
        <v>1354</v>
      </c>
      <c r="B18" s="1546"/>
      <c r="C18" s="1546"/>
      <c r="D18" s="1546"/>
      <c r="E18" s="1546"/>
      <c r="F18" s="1546"/>
      <c r="G18" s="1546"/>
      <c r="H18" s="1546"/>
      <c r="I18" s="1546"/>
      <c r="J18" s="1546"/>
      <c r="K18" s="1546"/>
      <c r="L18" s="1546"/>
    </row>
    <row r="19" spans="1:18" ht="15.75">
      <c r="A19" s="592"/>
      <c r="B19" s="593"/>
      <c r="C19" s="593"/>
      <c r="D19" s="593"/>
      <c r="E19" s="593"/>
      <c r="F19" s="593"/>
      <c r="G19" s="593"/>
      <c r="H19" s="594"/>
      <c r="I19" s="1544" t="s">
        <v>1773</v>
      </c>
      <c r="J19" s="1544"/>
      <c r="K19" s="1544" t="s">
        <v>1774</v>
      </c>
      <c r="L19" s="1544"/>
    </row>
    <row r="20" spans="1:18" ht="15.75">
      <c r="A20" s="590"/>
      <c r="B20" s="586"/>
      <c r="C20" s="586"/>
      <c r="D20" s="586"/>
      <c r="E20" s="586"/>
      <c r="F20" s="586"/>
      <c r="G20" s="586"/>
      <c r="H20" s="575"/>
      <c r="I20" s="1547" t="s">
        <v>1426</v>
      </c>
      <c r="J20" s="1547"/>
      <c r="K20" s="595"/>
      <c r="L20" s="595"/>
    </row>
    <row r="21" spans="1:18" ht="15.75">
      <c r="A21" s="596" t="s">
        <v>1355</v>
      </c>
      <c r="B21" s="586"/>
      <c r="C21" s="586"/>
      <c r="D21" s="586"/>
      <c r="E21" s="586"/>
      <c r="F21" s="586"/>
      <c r="G21" s="586"/>
      <c r="H21" s="575"/>
      <c r="I21" s="571"/>
      <c r="J21" s="571">
        <f>+BSPL!F97</f>
        <v>21498799.410686374</v>
      </c>
      <c r="K21" s="571"/>
      <c r="L21" s="571">
        <f>+BSPL!F97</f>
        <v>21498799.410686374</v>
      </c>
    </row>
    <row r="22" spans="1:18" ht="15.75">
      <c r="A22" s="596"/>
      <c r="B22" s="586"/>
      <c r="C22" s="586"/>
      <c r="D22" s="586"/>
      <c r="E22" s="586"/>
      <c r="F22" s="586"/>
      <c r="G22" s="597"/>
      <c r="H22" s="575"/>
      <c r="I22" s="571"/>
      <c r="J22" s="571"/>
      <c r="K22" s="571"/>
      <c r="L22" s="571"/>
    </row>
    <row r="23" spans="1:18" ht="15.75">
      <c r="A23" s="598" t="s">
        <v>1356</v>
      </c>
      <c r="B23" s="586"/>
      <c r="C23" s="586"/>
      <c r="D23" s="586"/>
      <c r="E23" s="586"/>
      <c r="F23" s="586"/>
      <c r="G23" s="597"/>
      <c r="H23" s="575"/>
      <c r="I23" s="571"/>
      <c r="J23" s="571"/>
      <c r="K23" s="571"/>
      <c r="L23" s="571"/>
      <c r="Q23" s="599" t="s">
        <v>543</v>
      </c>
      <c r="R23" s="599" t="s">
        <v>544</v>
      </c>
    </row>
    <row r="24" spans="1:18" ht="15.75">
      <c r="A24" s="596"/>
      <c r="B24" s="600" t="s">
        <v>1357</v>
      </c>
      <c r="C24" s="600"/>
      <c r="D24" s="586"/>
      <c r="E24" s="586"/>
      <c r="F24" s="586"/>
      <c r="G24" s="586"/>
      <c r="H24" s="576"/>
      <c r="I24" s="572">
        <f>+BSPL!F91</f>
        <v>17192939</v>
      </c>
      <c r="J24" s="571"/>
      <c r="K24" s="572">
        <f>+BSPL!F91</f>
        <v>17192939</v>
      </c>
      <c r="L24" s="571"/>
      <c r="P24" s="19" t="s">
        <v>487</v>
      </c>
      <c r="Q24" s="599"/>
      <c r="R24" s="599">
        <v>75</v>
      </c>
    </row>
    <row r="25" spans="1:18" ht="15.75">
      <c r="A25" s="596"/>
      <c r="B25" s="600" t="s">
        <v>1358</v>
      </c>
      <c r="C25" s="600"/>
      <c r="D25" s="586"/>
      <c r="E25" s="586"/>
      <c r="F25" s="586"/>
      <c r="G25" s="586"/>
      <c r="H25" s="576"/>
      <c r="I25" s="572">
        <f>+GETPIVOTDATA("Sum of DR-March 20",Pivot!$A$3,"PARTICULARS","Gratuity To Staff","Note",24,"BS Main Head","Employee Benefit Expenses","BS Sub Head","Contribution to Funds")</f>
        <v>850764</v>
      </c>
      <c r="J25" s="571"/>
      <c r="K25" s="572">
        <f>+GETPIVOTDATA("Sum of DR-March 20",Pivot!$A$3,"PARTICULARS","Gratuity To Staff","Note",24,"BS Main Head","Employee Benefit Expenses","BS Sub Head","Contribution to Funds")</f>
        <v>850764</v>
      </c>
      <c r="L25" s="571"/>
      <c r="P25" s="19" t="s">
        <v>488</v>
      </c>
      <c r="Q25" s="599"/>
      <c r="R25" s="599">
        <v>3000</v>
      </c>
    </row>
    <row r="26" spans="1:18" ht="15.75">
      <c r="A26" s="596"/>
      <c r="B26" s="600" t="s">
        <v>635</v>
      </c>
      <c r="C26" s="600"/>
      <c r="D26" s="586"/>
      <c r="E26" s="586"/>
      <c r="F26" s="586"/>
      <c r="G26" s="586"/>
      <c r="H26" s="575"/>
      <c r="I26" s="572">
        <f>+GETPIVOTDATA("Sum of DR-March 20",Pivot!$A$3,"Note",26,"BS Main Head","Other Expenses","BS Sub Head","Donation")</f>
        <v>13002</v>
      </c>
      <c r="J26" s="571"/>
      <c r="K26" s="572">
        <f>+GETPIVOTDATA("Sum of DR-March 20",Pivot!$A$3,"Note",26,"BS Main Head","Other Expenses","BS Sub Head","Donation")</f>
        <v>13002</v>
      </c>
      <c r="L26" s="571"/>
      <c r="P26" s="19" t="s">
        <v>489</v>
      </c>
      <c r="Q26" s="599"/>
      <c r="R26" s="599">
        <v>19678</v>
      </c>
    </row>
    <row r="27" spans="1:18" ht="15.75">
      <c r="A27" s="596"/>
      <c r="B27" s="600" t="s">
        <v>1359</v>
      </c>
      <c r="C27" s="600"/>
      <c r="D27" s="586"/>
      <c r="E27" s="586"/>
      <c r="F27" s="586"/>
      <c r="G27" s="586"/>
      <c r="H27" s="576"/>
      <c r="I27" s="572">
        <v>0</v>
      </c>
      <c r="J27" s="571"/>
      <c r="K27" s="572">
        <v>0</v>
      </c>
      <c r="L27" s="571"/>
      <c r="P27" s="19" t="s">
        <v>1800</v>
      </c>
      <c r="Q27" s="599"/>
      <c r="R27" s="599">
        <v>0</v>
      </c>
    </row>
    <row r="28" spans="1:18" ht="15.75">
      <c r="A28" s="596"/>
      <c r="B28" s="600" t="s">
        <v>1360</v>
      </c>
      <c r="C28" s="600"/>
      <c r="D28" s="586"/>
      <c r="E28" s="586"/>
      <c r="F28" s="586"/>
      <c r="G28" s="586"/>
      <c r="H28" s="576"/>
      <c r="I28" s="572">
        <v>0</v>
      </c>
      <c r="J28" s="571"/>
      <c r="K28" s="572">
        <v>0</v>
      </c>
      <c r="L28" s="571"/>
      <c r="P28" s="19" t="s">
        <v>1801</v>
      </c>
      <c r="Q28" s="599"/>
      <c r="R28" s="599">
        <v>0</v>
      </c>
    </row>
    <row r="29" spans="1:18" ht="15.75">
      <c r="A29" s="596"/>
      <c r="B29" s="600" t="s">
        <v>169</v>
      </c>
      <c r="C29" s="600"/>
      <c r="D29" s="586"/>
      <c r="E29" s="586"/>
      <c r="F29" s="586"/>
      <c r="G29" s="586"/>
      <c r="H29" s="575"/>
      <c r="I29" s="572">
        <f>+GETPIVOTDATA("Sum of DR-March 20",Pivot!$A$3,"PARTICULARS","Interest on Income Tax","Note",26,"BS Main Head","Other Expenses","BS Sub Head","Establishment Expenses-Rates &amp; Taxes")</f>
        <v>285659</v>
      </c>
      <c r="J29" s="571"/>
      <c r="K29" s="572">
        <f>+GETPIVOTDATA("Sum of DR-March 20",Pivot!$A$3,"PARTICULARS","Interest on Income Tax","Note",26,"BS Main Head","Other Expenses","BS Sub Head","Establishment Expenses-Rates &amp; Taxes")</f>
        <v>285659</v>
      </c>
      <c r="L29" s="571"/>
      <c r="P29" s="19" t="s">
        <v>490</v>
      </c>
      <c r="Q29" s="599"/>
      <c r="R29" s="599">
        <v>75</v>
      </c>
    </row>
    <row r="30" spans="1:18" ht="15.75">
      <c r="A30" s="596"/>
      <c r="B30" s="600" t="s">
        <v>1361</v>
      </c>
      <c r="C30" s="600"/>
      <c r="D30" s="586"/>
      <c r="E30" s="586"/>
      <c r="F30" s="586"/>
      <c r="G30" s="586"/>
      <c r="H30" s="576"/>
      <c r="I30" s="572">
        <f>+GETPIVOTDATA("Sum of CR-March 20",Pivot!$A$3,"PARTICULARS","Incentive/ Bonus Payable","Note",9,"BS Main Head","Short Term Provision","BS Sub Head","Provision for Employee Benefit")</f>
        <v>1259230</v>
      </c>
      <c r="J30" s="571"/>
      <c r="K30" s="572">
        <f>+GETPIVOTDATA("Sum of CR-March 20",Pivot!$A$3,"PARTICULARS","Incentive/ Bonus Payable","Note",9,"BS Main Head","Short Term Provision","BS Sub Head","Provision for Employee Benefit")</f>
        <v>1259230</v>
      </c>
      <c r="L30" s="571"/>
      <c r="N30" s="601">
        <f>+I25+BSPL!F106</f>
        <v>664513</v>
      </c>
      <c r="P30" s="19" t="s">
        <v>260</v>
      </c>
      <c r="Q30" s="599">
        <f>+GETPIVOTDATA("Sum of DR-March 20",Pivot!$A$3,"PARTICULARS","Penalty to Compliance (MSEI)","Note",26,"BS Main Head","Other Expenses","BS Sub Head","Establishment Expenses-Rates &amp; Taxes")</f>
        <v>281000</v>
      </c>
      <c r="R30" s="599">
        <v>33000</v>
      </c>
    </row>
    <row r="31" spans="1:18" ht="15.75">
      <c r="A31" s="596"/>
      <c r="B31" s="600" t="s">
        <v>1362</v>
      </c>
      <c r="C31" s="600"/>
      <c r="D31" s="586"/>
      <c r="E31" s="586"/>
      <c r="F31" s="586"/>
      <c r="G31" s="586"/>
      <c r="H31" s="576"/>
      <c r="I31" s="572">
        <f>+Q32</f>
        <v>281000</v>
      </c>
      <c r="J31" s="571"/>
      <c r="K31" s="572">
        <f>+R36</f>
        <v>0</v>
      </c>
      <c r="L31" s="571"/>
      <c r="Q31" s="599"/>
      <c r="R31" s="599"/>
    </row>
    <row r="32" spans="1:18" ht="15.75">
      <c r="A32" s="596"/>
      <c r="B32" s="600" t="s">
        <v>1363</v>
      </c>
      <c r="C32" s="600"/>
      <c r="D32" s="586"/>
      <c r="E32" s="586"/>
      <c r="F32" s="586"/>
      <c r="G32" s="586"/>
      <c r="H32" s="576"/>
      <c r="I32" s="572">
        <v>0</v>
      </c>
      <c r="J32" s="571"/>
      <c r="K32" s="572">
        <v>0</v>
      </c>
      <c r="L32" s="571"/>
      <c r="Q32" s="602">
        <f>+SUM(Q24:Q31)</f>
        <v>281000</v>
      </c>
      <c r="R32" s="602">
        <f>+SUM(R24:R31)</f>
        <v>55828</v>
      </c>
    </row>
    <row r="33" spans="1:12" ht="15.75">
      <c r="A33" s="596"/>
      <c r="B33" s="600" t="s">
        <v>472</v>
      </c>
      <c r="C33" s="600"/>
      <c r="D33" s="586"/>
      <c r="E33" s="586"/>
      <c r="F33" s="586"/>
      <c r="G33" s="586"/>
      <c r="H33" s="576"/>
      <c r="I33" s="572">
        <f>+GETPIVOTDATA("Sum of DR-March 20",Pivot!$A$3,"PARTICULARS","Late Fee","Note",26,"BS Main Head","Other Expenses","BS Sub Head","Establishment Expenses-Rates &amp; Taxes")</f>
        <v>0</v>
      </c>
      <c r="J33" s="571"/>
      <c r="K33" s="572">
        <f>+GETPIVOTDATA("Sum of DR-March 20",Pivot!$A$3,"PARTICULARS","Late Fee","Note",26,"BS Main Head","Other Expenses","BS Sub Head","Establishment Expenses-Rates &amp; Taxes")</f>
        <v>0</v>
      </c>
      <c r="L33" s="571"/>
    </row>
    <row r="34" spans="1:12" ht="15.75">
      <c r="A34" s="596"/>
      <c r="B34" s="600" t="s">
        <v>661</v>
      </c>
      <c r="C34" s="600"/>
      <c r="D34" s="586"/>
      <c r="E34" s="586"/>
      <c r="F34" s="586"/>
      <c r="G34" s="586"/>
      <c r="H34" s="576"/>
      <c r="I34" s="572">
        <f>+GETPIVOTDATA("Sum of DR-March 20",Pivot!$A$3,"PARTICULARS","Interest On Tds","Note",26,"BS Main Head","Other Expenses","BS Sub Head","Establishment Expenses-Rates &amp; Taxes")</f>
        <v>2330</v>
      </c>
      <c r="J34" s="571"/>
      <c r="K34" s="572">
        <f>+GETPIVOTDATA("Sum of DR-March 20",Pivot!$A$3,"PARTICULARS","Interest On Tds","Note",26,"BS Main Head","Other Expenses","BS Sub Head","Establishment Expenses-Rates &amp; Taxes")</f>
        <v>2330</v>
      </c>
      <c r="L34" s="571"/>
    </row>
    <row r="35" spans="1:12" ht="15.75">
      <c r="A35" s="596"/>
      <c r="B35" s="600" t="s">
        <v>1444</v>
      </c>
      <c r="C35" s="600"/>
      <c r="D35" s="586"/>
      <c r="E35" s="586"/>
      <c r="F35" s="586"/>
      <c r="G35" s="586"/>
      <c r="H35" s="576"/>
      <c r="I35" s="572">
        <v>760952</v>
      </c>
      <c r="J35" s="571"/>
      <c r="K35" s="572">
        <v>760952</v>
      </c>
      <c r="L35" s="571"/>
    </row>
    <row r="36" spans="1:12" ht="15.75">
      <c r="A36" s="596"/>
      <c r="B36" s="600" t="s">
        <v>170</v>
      </c>
      <c r="C36" s="586"/>
      <c r="D36" s="586"/>
      <c r="E36" s="586"/>
      <c r="F36" s="586"/>
      <c r="G36" s="586"/>
      <c r="H36" s="577"/>
      <c r="I36" s="603">
        <f>+GETPIVOTDATA("Sum of DR-March 20",Pivot!$A$3,"PARTICULARS","INTEREST ON PROFESSIONAL TAX","Note",26,"BS Main Head","Other Expenses","BS Sub Head","Establishment Expenses-Rates &amp; Taxes")</f>
        <v>200</v>
      </c>
      <c r="J36" s="604">
        <f>SUM(I24:I36)</f>
        <v>20646076</v>
      </c>
      <c r="K36" s="603">
        <f>+GETPIVOTDATA("Sum of DR-March 20",Pivot!$A$3,"PARTICULARS","INTEREST ON PROFESSIONAL TAX","Note",26,"BS Main Head","Other Expenses","BS Sub Head","Establishment Expenses-Rates &amp; Taxes")</f>
        <v>200</v>
      </c>
      <c r="L36" s="604">
        <f>SUM(K24:K36)</f>
        <v>20365076</v>
      </c>
    </row>
    <row r="37" spans="1:12" ht="15.75">
      <c r="A37" s="596"/>
      <c r="B37" s="600"/>
      <c r="C37" s="586"/>
      <c r="D37" s="586"/>
      <c r="E37" s="586"/>
      <c r="F37" s="586"/>
      <c r="G37" s="597"/>
      <c r="H37" s="577"/>
      <c r="I37" s="571"/>
      <c r="J37" s="605">
        <f>J21+J36</f>
        <v>42144875.410686374</v>
      </c>
      <c r="K37" s="571"/>
      <c r="L37" s="605">
        <f>L21+L36</f>
        <v>41863875.410686374</v>
      </c>
    </row>
    <row r="38" spans="1:12" ht="15.75">
      <c r="A38" s="590"/>
      <c r="B38" s="586"/>
      <c r="C38" s="586"/>
      <c r="D38" s="586"/>
      <c r="E38" s="586"/>
      <c r="F38" s="586"/>
      <c r="G38" s="597"/>
      <c r="H38" s="578"/>
      <c r="I38" s="573"/>
      <c r="J38" s="573"/>
      <c r="K38" s="573"/>
      <c r="L38" s="573"/>
    </row>
    <row r="39" spans="1:12" ht="15.75">
      <c r="A39" s="598" t="s">
        <v>1364</v>
      </c>
      <c r="B39" s="586"/>
      <c r="C39" s="586"/>
      <c r="D39" s="586"/>
      <c r="E39" s="586"/>
      <c r="F39" s="586"/>
      <c r="G39" s="606"/>
      <c r="H39" s="575"/>
      <c r="I39" s="571"/>
      <c r="J39" s="571"/>
      <c r="K39" s="571"/>
      <c r="L39" s="571"/>
    </row>
    <row r="40" spans="1:12" ht="15.75">
      <c r="A40" s="596"/>
      <c r="B40" s="586" t="s">
        <v>1973</v>
      </c>
      <c r="C40" s="586"/>
      <c r="D40" s="586"/>
      <c r="E40" s="586"/>
      <c r="F40" s="586"/>
      <c r="G40" s="606"/>
      <c r="H40" s="575">
        <v>0</v>
      </c>
      <c r="I40" s="571">
        <f>+GETPIVOTDATA("Sum of CR-March 20",Pivot!$A$3,"PARTICULARS","Profit on Sale of Asset","Note",20,"BS Main Head","Other Income","BS Sub Head","Profit on Sale of Asset")</f>
        <v>18263</v>
      </c>
      <c r="J40" s="571"/>
      <c r="K40" s="571"/>
      <c r="L40" s="571"/>
    </row>
    <row r="41" spans="1:12" ht="15.75">
      <c r="A41" s="596"/>
      <c r="B41" s="586" t="s">
        <v>1365</v>
      </c>
      <c r="C41" s="586"/>
      <c r="D41" s="586"/>
      <c r="E41" s="586"/>
      <c r="F41" s="586"/>
      <c r="G41" s="606"/>
      <c r="H41" s="575">
        <v>0</v>
      </c>
      <c r="I41" s="571"/>
      <c r="J41" s="571"/>
      <c r="K41" s="571"/>
      <c r="L41" s="571"/>
    </row>
    <row r="42" spans="1:12" ht="15.75">
      <c r="A42" s="596"/>
      <c r="B42" s="586" t="s">
        <v>1366</v>
      </c>
      <c r="C42" s="586"/>
      <c r="D42" s="607"/>
      <c r="E42" s="278"/>
      <c r="F42" s="278"/>
      <c r="G42" s="606"/>
      <c r="H42" s="575"/>
      <c r="I42" s="571">
        <f>+'Depreciation as per Income Tax'!O60</f>
        <v>17136211.091894377</v>
      </c>
      <c r="J42" s="571"/>
      <c r="K42" s="571">
        <f>+'Depreciation as per Income Tax'!O60-'Depreciation as per Income Tax'!M60-'Depreciation as per Income Tax'!N60</f>
        <v>15763191.551894378</v>
      </c>
      <c r="L42" s="571"/>
    </row>
    <row r="43" spans="1:12" ht="15.75">
      <c r="A43" s="596"/>
      <c r="B43" s="586" t="s">
        <v>1367</v>
      </c>
      <c r="C43" s="586"/>
      <c r="D43" s="607"/>
      <c r="E43" s="586"/>
      <c r="F43" s="586"/>
      <c r="G43" s="606"/>
      <c r="H43" s="575"/>
      <c r="I43" s="608"/>
      <c r="J43" s="609"/>
      <c r="K43" s="608"/>
      <c r="L43" s="609"/>
    </row>
    <row r="44" spans="1:12" ht="15.75">
      <c r="A44" s="596" t="s">
        <v>1368</v>
      </c>
      <c r="B44" s="610"/>
      <c r="C44" s="610"/>
      <c r="D44" s="586"/>
      <c r="E44" s="586"/>
      <c r="F44" s="586"/>
      <c r="G44" s="586"/>
      <c r="H44" s="575"/>
      <c r="I44" s="571"/>
      <c r="J44" s="571"/>
      <c r="K44" s="571"/>
      <c r="L44" s="571"/>
    </row>
    <row r="45" spans="1:12" ht="15.75">
      <c r="A45" s="584"/>
      <c r="B45" s="586"/>
      <c r="C45" s="586"/>
      <c r="D45" s="586"/>
      <c r="E45" s="586"/>
      <c r="F45" s="586"/>
      <c r="G45" s="586"/>
      <c r="H45" s="575"/>
      <c r="I45" s="571"/>
      <c r="J45" s="571"/>
      <c r="K45" s="571"/>
      <c r="L45" s="571"/>
    </row>
    <row r="46" spans="1:12" ht="15.75">
      <c r="A46" s="596" t="s">
        <v>1369</v>
      </c>
      <c r="B46" s="610"/>
      <c r="C46" s="610"/>
      <c r="D46" s="586"/>
      <c r="E46" s="586"/>
      <c r="F46" s="586"/>
      <c r="G46" s="586"/>
      <c r="H46" s="575"/>
      <c r="I46" s="571"/>
      <c r="J46" s="571"/>
      <c r="K46" s="571"/>
      <c r="L46" s="571"/>
    </row>
    <row r="47" spans="1:12" ht="15.75">
      <c r="A47" s="611"/>
      <c r="B47" s="586"/>
      <c r="C47" s="586"/>
      <c r="D47" s="586"/>
      <c r="E47" s="586"/>
      <c r="F47" s="586"/>
      <c r="G47" s="586"/>
      <c r="H47" s="575"/>
      <c r="I47" s="571"/>
      <c r="J47" s="571"/>
      <c r="K47" s="571"/>
      <c r="L47" s="571"/>
    </row>
    <row r="48" spans="1:12" ht="15.75">
      <c r="A48" s="611"/>
      <c r="B48" s="586" t="s">
        <v>1370</v>
      </c>
      <c r="C48" s="586"/>
      <c r="D48" s="586"/>
      <c r="E48" s="586"/>
      <c r="F48" s="586"/>
      <c r="G48" s="586"/>
      <c r="H48" s="575"/>
      <c r="I48" s="571">
        <v>220996</v>
      </c>
      <c r="J48" s="571"/>
      <c r="K48" s="571">
        <v>0</v>
      </c>
      <c r="L48" s="571"/>
    </row>
    <row r="49" spans="1:12" ht="15.75">
      <c r="A49" s="611"/>
      <c r="B49" s="586" t="s">
        <v>1371</v>
      </c>
      <c r="C49" s="586"/>
      <c r="D49" s="586"/>
      <c r="E49" s="586"/>
      <c r="F49" s="586"/>
      <c r="G49" s="586"/>
      <c r="H49" s="575"/>
      <c r="I49" s="571"/>
      <c r="J49" s="571"/>
      <c r="K49" s="571"/>
      <c r="L49" s="571"/>
    </row>
    <row r="50" spans="1:12" ht="15.75">
      <c r="A50" s="611"/>
      <c r="B50" s="600" t="s">
        <v>1372</v>
      </c>
      <c r="C50" s="586"/>
      <c r="D50" s="586"/>
      <c r="E50" s="586"/>
      <c r="F50" s="586"/>
      <c r="G50" s="586"/>
      <c r="H50" s="575"/>
      <c r="I50" s="574">
        <v>1405750</v>
      </c>
      <c r="J50" s="571">
        <f>SUM(I40:I50)</f>
        <v>18781220.091894377</v>
      </c>
      <c r="K50" s="574">
        <v>1405750</v>
      </c>
      <c r="L50" s="571">
        <f>SUM(K42:K50)</f>
        <v>17168941.551894378</v>
      </c>
    </row>
    <row r="51" spans="1:12" ht="15.75">
      <c r="A51" s="590"/>
      <c r="B51" s="610"/>
      <c r="C51" s="610"/>
      <c r="D51" s="586"/>
      <c r="E51" s="586"/>
      <c r="F51" s="586"/>
      <c r="G51" s="585" t="s">
        <v>1373</v>
      </c>
      <c r="H51" s="612" t="s">
        <v>1374</v>
      </c>
      <c r="I51" s="571"/>
      <c r="J51" s="609">
        <f>J37-J50</f>
        <v>23363655.318791997</v>
      </c>
      <c r="K51" s="571"/>
      <c r="L51" s="609">
        <f>L37-L50</f>
        <v>24694933.858791996</v>
      </c>
    </row>
    <row r="52" spans="1:12" ht="15.75">
      <c r="A52" s="590" t="s">
        <v>1375</v>
      </c>
      <c r="B52" s="610"/>
      <c r="C52" s="610"/>
      <c r="D52" s="586"/>
      <c r="E52" s="586"/>
      <c r="F52" s="586"/>
      <c r="G52" s="586"/>
      <c r="H52" s="612"/>
      <c r="I52" s="571">
        <v>0</v>
      </c>
      <c r="J52" s="571"/>
      <c r="K52" s="571">
        <v>0</v>
      </c>
      <c r="L52" s="571"/>
    </row>
    <row r="53" spans="1:12" ht="15.75">
      <c r="A53" s="590" t="s">
        <v>1376</v>
      </c>
      <c r="B53" s="610"/>
      <c r="C53" s="610"/>
      <c r="D53" s="586"/>
      <c r="E53" s="586"/>
      <c r="F53" s="586"/>
      <c r="G53" s="586"/>
      <c r="H53" s="575"/>
      <c r="I53" s="571">
        <f>I52</f>
        <v>0</v>
      </c>
      <c r="J53" s="571"/>
      <c r="K53" s="571">
        <f>K52</f>
        <v>0</v>
      </c>
      <c r="L53" s="571"/>
    </row>
    <row r="54" spans="1:12" ht="15.75">
      <c r="A54" s="590"/>
      <c r="B54" s="586"/>
      <c r="C54" s="586"/>
      <c r="D54" s="586"/>
      <c r="E54" s="586"/>
      <c r="F54" s="586"/>
      <c r="G54" s="586"/>
      <c r="H54" s="612"/>
      <c r="I54" s="608"/>
      <c r="J54" s="608"/>
      <c r="K54" s="608"/>
      <c r="L54" s="608"/>
    </row>
    <row r="55" spans="1:12" ht="16.5" thickBot="1">
      <c r="A55" s="590"/>
      <c r="B55" s="586"/>
      <c r="C55" s="586"/>
      <c r="D55" s="586"/>
      <c r="E55" s="586"/>
      <c r="F55" s="586"/>
      <c r="G55" s="585"/>
      <c r="H55" s="612"/>
      <c r="I55" s="608"/>
      <c r="J55" s="613">
        <f>SUM(J51:J53)</f>
        <v>23363655.318791997</v>
      </c>
      <c r="K55" s="608"/>
      <c r="L55" s="613">
        <f>SUM(L51:L53)</f>
        <v>24694933.858791996</v>
      </c>
    </row>
    <row r="56" spans="1:12" ht="16.5" thickTop="1">
      <c r="A56" s="590"/>
      <c r="B56" s="586"/>
      <c r="C56" s="586"/>
      <c r="D56" s="586"/>
      <c r="E56" s="586"/>
      <c r="F56" s="586"/>
      <c r="G56" s="586"/>
      <c r="H56" s="612"/>
      <c r="I56" s="608"/>
      <c r="J56" s="608"/>
      <c r="K56" s="608"/>
      <c r="L56" s="608"/>
    </row>
    <row r="57" spans="1:12" ht="15.75">
      <c r="A57" s="590"/>
      <c r="B57" s="586"/>
      <c r="C57" s="586"/>
      <c r="D57" s="586"/>
      <c r="E57" s="586"/>
      <c r="F57" s="586" t="s">
        <v>1377</v>
      </c>
      <c r="G57" s="586"/>
      <c r="H57" s="612"/>
      <c r="I57" s="608"/>
      <c r="J57" s="608">
        <v>7135017</v>
      </c>
      <c r="K57" s="608"/>
      <c r="L57" s="608">
        <v>0</v>
      </c>
    </row>
    <row r="58" spans="1:12" ht="15.75">
      <c r="A58" s="590"/>
      <c r="B58" s="586"/>
      <c r="C58" s="586"/>
      <c r="D58" s="586"/>
      <c r="E58" s="586"/>
      <c r="F58" s="586"/>
      <c r="G58" s="586"/>
      <c r="H58" s="612"/>
      <c r="I58" s="608"/>
      <c r="J58" s="608"/>
      <c r="K58" s="608"/>
      <c r="L58" s="608"/>
    </row>
    <row r="59" spans="1:12" ht="15.75">
      <c r="A59" s="590"/>
      <c r="B59" s="586"/>
      <c r="C59" s="586"/>
      <c r="D59" s="586"/>
      <c r="E59" s="586"/>
      <c r="F59" s="586"/>
      <c r="G59" s="585" t="s">
        <v>1373</v>
      </c>
      <c r="H59" s="612"/>
      <c r="I59" s="608"/>
      <c r="J59" s="614">
        <f>J55-J57</f>
        <v>16228638.318791997</v>
      </c>
      <c r="K59" s="608"/>
      <c r="L59" s="614">
        <f>L55-L57</f>
        <v>24694933.858791996</v>
      </c>
    </row>
    <row r="60" spans="1:12" ht="15.75">
      <c r="A60" s="590"/>
      <c r="B60" s="586"/>
      <c r="C60" s="586"/>
      <c r="D60" s="586"/>
      <c r="E60" s="586"/>
      <c r="F60" s="586"/>
      <c r="G60" s="586"/>
      <c r="H60" s="612"/>
      <c r="I60" s="608"/>
      <c r="J60" s="608"/>
      <c r="K60" s="608"/>
      <c r="L60" s="608"/>
    </row>
    <row r="61" spans="1:12" ht="15.75">
      <c r="A61" s="590"/>
      <c r="B61" s="586"/>
      <c r="C61" s="586"/>
      <c r="D61" s="586"/>
      <c r="E61" s="586"/>
      <c r="F61" s="586"/>
      <c r="G61" s="586"/>
      <c r="H61" s="612"/>
      <c r="I61" s="608"/>
      <c r="J61" s="608"/>
      <c r="K61" s="608"/>
      <c r="L61" s="608"/>
    </row>
    <row r="62" spans="1:12" ht="15.75">
      <c r="A62" s="590"/>
      <c r="B62" s="586"/>
      <c r="C62" s="586"/>
      <c r="D62" s="586"/>
      <c r="E62" s="586"/>
      <c r="F62" s="586"/>
      <c r="G62" s="610"/>
      <c r="H62" s="612" t="s">
        <v>1378</v>
      </c>
      <c r="I62" s="608"/>
      <c r="J62" s="605">
        <f>IF(J59&gt;0,J59*0.25,0)</f>
        <v>4057159.5796979992</v>
      </c>
      <c r="K62" s="608"/>
      <c r="L62" s="605">
        <f>IF(L59&gt;0,L59*0.22,0)</f>
        <v>5432885.4489342393</v>
      </c>
    </row>
    <row r="63" spans="1:12" ht="15.75">
      <c r="A63" s="590"/>
      <c r="B63" s="586"/>
      <c r="C63" s="586"/>
      <c r="D63" s="586"/>
      <c r="E63" s="586"/>
      <c r="F63" s="586"/>
      <c r="G63" s="610"/>
      <c r="H63" s="575"/>
      <c r="I63" s="571"/>
      <c r="J63" s="571"/>
      <c r="K63" s="571"/>
      <c r="L63" s="571"/>
    </row>
    <row r="64" spans="1:12" ht="15.75">
      <c r="A64" s="590"/>
      <c r="B64" s="586"/>
      <c r="C64" s="586"/>
      <c r="D64" s="586"/>
      <c r="E64" s="586"/>
      <c r="F64" s="586"/>
      <c r="G64" s="586"/>
      <c r="H64" s="575"/>
      <c r="I64" s="571"/>
      <c r="J64" s="571"/>
      <c r="K64" s="571"/>
      <c r="L64" s="571"/>
    </row>
    <row r="65" spans="1:14" ht="15.75">
      <c r="A65" s="1548" t="s">
        <v>1379</v>
      </c>
      <c r="B65" s="1549"/>
      <c r="C65" s="1549"/>
      <c r="D65" s="1549"/>
      <c r="E65" s="1549"/>
      <c r="F65" s="1549"/>
      <c r="G65" s="1549"/>
      <c r="H65" s="1550"/>
      <c r="I65" s="615"/>
      <c r="J65" s="616"/>
      <c r="K65" s="615"/>
      <c r="L65" s="616"/>
    </row>
    <row r="66" spans="1:14" ht="15.75">
      <c r="A66" s="596"/>
      <c r="B66" s="586"/>
      <c r="C66" s="586"/>
      <c r="D66" s="586"/>
      <c r="E66" s="586"/>
      <c r="F66" s="586"/>
      <c r="G66" s="586"/>
      <c r="H66" s="575"/>
      <c r="I66" s="571"/>
      <c r="J66" s="571"/>
      <c r="K66" s="571"/>
      <c r="L66" s="571"/>
    </row>
    <row r="67" spans="1:14" ht="15.75">
      <c r="A67" s="596"/>
      <c r="B67" s="586"/>
      <c r="C67" s="586"/>
      <c r="D67" s="586"/>
      <c r="E67" s="586"/>
      <c r="F67" s="586"/>
      <c r="G67" s="586"/>
      <c r="H67" s="575"/>
      <c r="I67" s="571"/>
      <c r="J67" s="571"/>
      <c r="K67" s="571"/>
      <c r="L67" s="571"/>
    </row>
    <row r="68" spans="1:14" ht="15.75">
      <c r="A68" s="596"/>
      <c r="B68" s="586"/>
      <c r="C68" s="617"/>
      <c r="D68" s="586"/>
      <c r="E68" s="617" t="str">
        <f>A21</f>
        <v>Profit as per Profit and Loss Statement after extraordinary item</v>
      </c>
      <c r="F68" s="586"/>
      <c r="G68" s="586"/>
      <c r="H68" s="575"/>
      <c r="I68" s="571"/>
      <c r="J68" s="618">
        <f>+BSPL!F97</f>
        <v>21498799.410686374</v>
      </c>
      <c r="K68" s="571"/>
      <c r="L68" s="618"/>
    </row>
    <row r="69" spans="1:14" ht="15.75">
      <c r="A69" s="596"/>
      <c r="B69" s="586"/>
      <c r="C69" s="617"/>
      <c r="D69" s="586"/>
      <c r="E69" s="619" t="s">
        <v>1380</v>
      </c>
      <c r="F69" s="586"/>
      <c r="G69" s="586"/>
      <c r="H69" s="575"/>
      <c r="I69" s="571"/>
      <c r="J69" s="574">
        <v>0</v>
      </c>
      <c r="K69" s="571"/>
      <c r="L69" s="574"/>
    </row>
    <row r="70" spans="1:14" ht="15.75">
      <c r="A70" s="596"/>
      <c r="B70" s="586"/>
      <c r="C70" s="586"/>
      <c r="D70" s="586"/>
      <c r="E70" s="620" t="s">
        <v>1381</v>
      </c>
      <c r="F70" s="586"/>
      <c r="G70" s="606"/>
      <c r="H70" s="575"/>
      <c r="I70" s="571"/>
      <c r="J70" s="605">
        <f>J68-J69</f>
        <v>21498799.410686374</v>
      </c>
      <c r="K70" s="571"/>
      <c r="L70" s="605"/>
    </row>
    <row r="71" spans="1:14" ht="15.75">
      <c r="A71" s="590"/>
      <c r="B71" s="586"/>
      <c r="C71" s="586"/>
      <c r="D71" s="586"/>
      <c r="E71" s="586"/>
      <c r="F71" s="586"/>
      <c r="G71" s="586"/>
      <c r="H71" s="575"/>
      <c r="I71" s="571"/>
      <c r="J71" s="571"/>
      <c r="K71" s="571"/>
      <c r="L71" s="571"/>
    </row>
    <row r="72" spans="1:14" ht="15.75">
      <c r="A72" s="590"/>
      <c r="B72" s="586"/>
      <c r="C72" s="586"/>
      <c r="D72" s="586"/>
      <c r="E72" s="586" t="s">
        <v>1802</v>
      </c>
      <c r="F72" s="586"/>
      <c r="G72" s="586"/>
      <c r="H72" s="612" t="s">
        <v>1382</v>
      </c>
      <c r="I72" s="608"/>
      <c r="J72" s="605">
        <f>IF(J70&gt;0,J70*0.15,0)</f>
        <v>3224819.9116029558</v>
      </c>
      <c r="K72" s="608"/>
      <c r="L72" s="605"/>
    </row>
    <row r="73" spans="1:14" ht="15.75">
      <c r="A73" s="590"/>
      <c r="B73" s="586"/>
      <c r="C73" s="586"/>
      <c r="D73" s="586"/>
      <c r="E73" s="586"/>
      <c r="F73" s="586"/>
      <c r="G73" s="586"/>
      <c r="H73" s="575"/>
      <c r="I73" s="571"/>
      <c r="J73" s="571"/>
      <c r="K73" s="571"/>
      <c r="L73" s="571"/>
    </row>
    <row r="74" spans="1:14" ht="15.75">
      <c r="A74" s="590"/>
      <c r="B74" s="586"/>
      <c r="C74" s="586"/>
      <c r="D74" s="586"/>
      <c r="E74" s="586"/>
      <c r="F74" s="586"/>
      <c r="G74" s="606" t="s">
        <v>1383</v>
      </c>
      <c r="H74" s="575"/>
      <c r="I74" s="571"/>
      <c r="J74" s="618">
        <f>IF(J72&gt;J62,J72,J62)</f>
        <v>4057159.5796979992</v>
      </c>
      <c r="K74" s="571"/>
      <c r="L74" s="618">
        <f>IF(L72&gt;L62,L72,L62)</f>
        <v>5432885.4489342393</v>
      </c>
      <c r="N74" s="816">
        <f>+J74-J72</f>
        <v>832339.66809504339</v>
      </c>
    </row>
    <row r="75" spans="1:14" ht="15.75">
      <c r="A75" s="590"/>
      <c r="B75" s="586"/>
      <c r="C75" s="586"/>
      <c r="D75" s="586"/>
      <c r="E75" s="586"/>
      <c r="F75" s="586"/>
      <c r="G75" s="586"/>
      <c r="H75" s="575"/>
      <c r="I75" s="571"/>
      <c r="J75" s="571"/>
      <c r="K75" s="571"/>
      <c r="L75" s="571"/>
    </row>
    <row r="76" spans="1:14" ht="15.75">
      <c r="A76" s="590"/>
      <c r="B76" s="586"/>
      <c r="C76" s="586"/>
      <c r="D76" s="586"/>
      <c r="E76" s="586" t="s">
        <v>1384</v>
      </c>
      <c r="F76" s="586"/>
      <c r="G76" s="586"/>
      <c r="H76" s="575"/>
      <c r="I76" s="571"/>
      <c r="J76" s="621">
        <f>IF(J70&gt;10000000,J74*0.07,0)</f>
        <v>284001.17057885998</v>
      </c>
      <c r="K76" s="571"/>
      <c r="L76" s="621">
        <f>+ROUND(L74*10%,0)</f>
        <v>543289</v>
      </c>
    </row>
    <row r="77" spans="1:14" ht="15.75">
      <c r="A77" s="590"/>
      <c r="B77" s="586"/>
      <c r="C77" s="586"/>
      <c r="D77" s="586"/>
      <c r="E77" s="586"/>
      <c r="F77" s="586"/>
      <c r="G77" s="586"/>
      <c r="H77" s="575"/>
      <c r="I77" s="571"/>
      <c r="J77" s="605">
        <f>+J74+J76</f>
        <v>4341160.7502768589</v>
      </c>
      <c r="K77" s="571"/>
      <c r="L77" s="605">
        <f>+L74+L76</f>
        <v>5976174.4489342393</v>
      </c>
    </row>
    <row r="78" spans="1:14" ht="15.75">
      <c r="A78" s="590"/>
      <c r="B78" s="586"/>
      <c r="C78" s="586"/>
      <c r="D78" s="586"/>
      <c r="E78" s="586" t="s">
        <v>1385</v>
      </c>
      <c r="F78" s="586"/>
      <c r="G78" s="586"/>
      <c r="H78" s="575"/>
      <c r="I78" s="571"/>
      <c r="J78" s="621">
        <f>+J77*0.04</f>
        <v>173646.43001107435</v>
      </c>
      <c r="K78" s="571"/>
      <c r="L78" s="621">
        <f>+L77*0.04</f>
        <v>239046.97795736959</v>
      </c>
    </row>
    <row r="79" spans="1:14" ht="15.75">
      <c r="A79" s="590"/>
      <c r="B79" s="586"/>
      <c r="C79" s="586"/>
      <c r="D79" s="586"/>
      <c r="E79" s="585" t="s">
        <v>1386</v>
      </c>
      <c r="F79" s="586"/>
      <c r="G79" s="586"/>
      <c r="H79" s="575"/>
      <c r="I79" s="571"/>
      <c r="J79" s="605">
        <f>J77+J78</f>
        <v>4514807.180287933</v>
      </c>
      <c r="K79" s="571"/>
      <c r="L79" s="605">
        <f>L77+L78</f>
        <v>6215221.4268916091</v>
      </c>
    </row>
    <row r="80" spans="1:14" ht="15.75">
      <c r="A80" s="590"/>
      <c r="B80" s="586"/>
      <c r="C80" s="586"/>
      <c r="D80" s="586"/>
      <c r="E80" s="586"/>
      <c r="F80" s="586"/>
      <c r="G80" s="586"/>
      <c r="H80" s="575"/>
      <c r="I80" s="571"/>
      <c r="J80" s="571"/>
      <c r="K80" s="571"/>
      <c r="L80" s="571"/>
    </row>
    <row r="81" spans="1:12" ht="15.75">
      <c r="A81" s="590"/>
      <c r="B81" s="586"/>
      <c r="C81" s="586"/>
      <c r="D81" s="586"/>
      <c r="E81" s="586" t="s">
        <v>1387</v>
      </c>
      <c r="F81" s="586"/>
      <c r="G81" s="586"/>
      <c r="H81" s="575"/>
      <c r="I81" s="571"/>
      <c r="J81" s="571"/>
      <c r="K81" s="571"/>
      <c r="L81" s="571"/>
    </row>
    <row r="82" spans="1:12" ht="15.75">
      <c r="A82" s="590"/>
      <c r="B82" s="586"/>
      <c r="C82" s="586"/>
      <c r="D82" s="586"/>
      <c r="E82" s="586" t="s">
        <v>1388</v>
      </c>
      <c r="F82" s="586"/>
      <c r="G82" s="586"/>
      <c r="H82" s="622"/>
      <c r="I82" s="573">
        <f>+GETPIVOTDATA("Sum of DR-March 20",Pivot!$A$3,"PARTICULARS","TDS (A. Y. 2020-21)","Note",12,"BS Main Head","Long Term Loans &amp; Advances","BS Sub Head","Advance Income Tax")+GETPIVOTDATA("Sum of DR-March 20",Pivot!$A$3,"PARTICULARS","T.C.S. (A.Y.2020-21)","Note",12,"BS Main Head","Long Term Loans &amp; Advances","BS Sub Head","Advance Income Tax")</f>
        <v>59294</v>
      </c>
      <c r="J82" s="573"/>
      <c r="K82" s="573">
        <f>+GETPIVOTDATA("Sum of DR-March 20",Pivot!$A$3,"PARTICULARS","TDS (A. Y. 2020-21)","Note",12,"BS Main Head","Long Term Loans &amp; Advances","BS Sub Head","Advance Income Tax")+GETPIVOTDATA("Sum of DR-March 20",Pivot!$A$3,"PARTICULARS","T.C.S. (A.Y.2020-21)","Note",12,"BS Main Head","Long Term Loans &amp; Advances","BS Sub Head","Advance Income Tax")</f>
        <v>59294</v>
      </c>
      <c r="L82" s="573"/>
    </row>
    <row r="83" spans="1:12" ht="15.75">
      <c r="A83" s="590"/>
      <c r="B83" s="586"/>
      <c r="C83" s="586"/>
      <c r="D83" s="586"/>
      <c r="E83" s="586" t="s">
        <v>1389</v>
      </c>
      <c r="F83" s="586"/>
      <c r="G83" s="586"/>
      <c r="H83" s="578"/>
      <c r="I83" s="573">
        <v>655513</v>
      </c>
      <c r="J83" s="573"/>
      <c r="K83" s="573">
        <v>0</v>
      </c>
      <c r="L83" s="573"/>
    </row>
    <row r="84" spans="1:12" ht="15.75">
      <c r="A84" s="590"/>
      <c r="B84" s="586"/>
      <c r="C84" s="586"/>
      <c r="D84" s="586"/>
      <c r="E84" s="586" t="s">
        <v>1390</v>
      </c>
      <c r="F84" s="586"/>
      <c r="G84" s="586"/>
      <c r="H84" s="578"/>
      <c r="I84" s="604">
        <f>+GETPIVOTDATA("Sum of DR-March 20",Pivot!$A$3,"PARTICULARS","Advance Income Tax (A.Y. 2020-21)","Note",12,"BS Main Head","Long Term Loans &amp; Advances","BS Sub Head","Advance Income Tax")</f>
        <v>3800000</v>
      </c>
      <c r="J84" s="623">
        <f>SUM(I82:I84)</f>
        <v>4514807</v>
      </c>
      <c r="K84" s="604">
        <f>+GETPIVOTDATA("Sum of DR-March 20",Pivot!$A$3,"PARTICULARS","Advance Income Tax (A.Y. 2020-21)","Note",12,"BS Main Head","Long Term Loans &amp; Advances","BS Sub Head","Advance Income Tax")</f>
        <v>3800000</v>
      </c>
      <c r="L84" s="623">
        <f>SUM(K82:K84)</f>
        <v>3859294</v>
      </c>
    </row>
    <row r="85" spans="1:12" ht="15.75">
      <c r="A85" s="590"/>
      <c r="B85" s="586"/>
      <c r="C85" s="586"/>
      <c r="D85" s="586"/>
      <c r="E85" s="585"/>
      <c r="F85" s="586"/>
      <c r="G85" s="624"/>
      <c r="H85" s="575"/>
      <c r="I85" s="571"/>
      <c r="J85" s="609">
        <f>J79-J84</f>
        <v>0.18028793297708035</v>
      </c>
      <c r="K85" s="571"/>
      <c r="L85" s="609">
        <f>L79-L84</f>
        <v>2355927.4268916091</v>
      </c>
    </row>
    <row r="86" spans="1:12" ht="15.75">
      <c r="A86" s="590"/>
      <c r="B86" s="586"/>
      <c r="C86" s="586"/>
      <c r="D86" s="586"/>
      <c r="E86" s="586" t="s">
        <v>1391</v>
      </c>
      <c r="F86" s="586"/>
      <c r="G86" s="586"/>
      <c r="H86" s="575"/>
      <c r="I86" s="571"/>
      <c r="J86" s="571"/>
      <c r="K86" s="571"/>
      <c r="L86" s="571"/>
    </row>
    <row r="87" spans="1:12" ht="15.75">
      <c r="A87" s="590"/>
      <c r="B87" s="586"/>
      <c r="C87" s="586"/>
      <c r="D87" s="586"/>
      <c r="E87" s="586"/>
      <c r="F87" s="586"/>
      <c r="G87" s="586"/>
      <c r="H87" s="575"/>
      <c r="I87" s="571"/>
      <c r="J87" s="605">
        <f>J85+J86</f>
        <v>0.18028793297708035</v>
      </c>
      <c r="K87" s="571"/>
      <c r="L87" s="605">
        <f>L85+L86</f>
        <v>2355927.4268916091</v>
      </c>
    </row>
    <row r="88" spans="1:12" ht="15.75">
      <c r="A88" s="590"/>
      <c r="B88" s="586"/>
      <c r="C88" s="586"/>
      <c r="D88" s="586"/>
      <c r="E88" s="586" t="s">
        <v>1392</v>
      </c>
      <c r="F88" s="586"/>
      <c r="G88" s="586"/>
      <c r="H88" s="575"/>
      <c r="I88" s="571"/>
      <c r="J88" s="625">
        <v>0</v>
      </c>
      <c r="K88" s="571"/>
      <c r="L88" s="625">
        <v>0</v>
      </c>
    </row>
    <row r="89" spans="1:12" ht="15.75">
      <c r="A89" s="590"/>
      <c r="B89" s="585"/>
      <c r="C89" s="585"/>
      <c r="D89" s="586"/>
      <c r="E89" s="585" t="s">
        <v>1393</v>
      </c>
      <c r="F89" s="586"/>
      <c r="G89" s="626"/>
      <c r="H89" s="575"/>
      <c r="I89" s="571"/>
      <c r="J89" s="627">
        <f>J87-J88</f>
        <v>0.18028793297708035</v>
      </c>
      <c r="K89" s="571"/>
      <c r="L89" s="627">
        <f>L87-L88</f>
        <v>2355927.4268916091</v>
      </c>
    </row>
    <row r="90" spans="1:12" ht="15.75">
      <c r="A90" s="628"/>
      <c r="B90" s="629"/>
      <c r="C90" s="629"/>
      <c r="D90" s="629"/>
      <c r="E90" s="629"/>
      <c r="F90" s="629"/>
      <c r="G90" s="629"/>
      <c r="H90" s="630"/>
      <c r="I90" s="574"/>
      <c r="J90" s="574"/>
      <c r="K90" s="574"/>
      <c r="L90" s="574"/>
    </row>
    <row r="91" spans="1:12" ht="15.75">
      <c r="A91" s="590"/>
      <c r="B91" s="586"/>
      <c r="C91" s="586"/>
      <c r="D91" s="586"/>
      <c r="E91" s="586"/>
      <c r="F91" s="586"/>
      <c r="G91" s="586"/>
      <c r="H91" s="277"/>
      <c r="I91" s="277"/>
      <c r="J91" s="277"/>
      <c r="K91" s="277"/>
      <c r="L91" s="631"/>
    </row>
    <row r="92" spans="1:12" ht="15.75">
      <c r="A92" s="590"/>
      <c r="B92" s="586"/>
      <c r="C92" s="586"/>
      <c r="D92" s="586"/>
      <c r="E92" s="586"/>
      <c r="F92" s="586"/>
      <c r="G92" s="586"/>
      <c r="H92" s="277"/>
      <c r="I92" s="277"/>
      <c r="J92" s="277"/>
      <c r="K92" s="277"/>
      <c r="L92" s="633"/>
    </row>
    <row r="93" spans="1:12" ht="16.5" thickBot="1">
      <c r="A93" s="632" t="s">
        <v>1972</v>
      </c>
      <c r="B93" s="643"/>
      <c r="C93" s="643"/>
      <c r="D93" s="643"/>
      <c r="E93" s="643"/>
      <c r="F93" s="643"/>
      <c r="G93" s="643"/>
      <c r="H93" s="644"/>
      <c r="I93" s="644"/>
      <c r="J93" s="644"/>
      <c r="K93" s="644"/>
      <c r="L93" s="645"/>
    </row>
    <row r="94" spans="1:12" ht="16.5" thickBot="1">
      <c r="A94" s="634" t="s">
        <v>9</v>
      </c>
      <c r="B94" s="635"/>
      <c r="C94" s="635"/>
      <c r="D94" s="635"/>
      <c r="E94" s="635"/>
      <c r="F94" s="636" t="s">
        <v>1395</v>
      </c>
      <c r="G94" s="636" t="s">
        <v>1396</v>
      </c>
      <c r="H94" s="636" t="s">
        <v>1397</v>
      </c>
      <c r="I94" s="636" t="s">
        <v>1394</v>
      </c>
      <c r="J94" s="636" t="s">
        <v>1398</v>
      </c>
      <c r="K94" s="646" t="s">
        <v>1399</v>
      </c>
      <c r="L94" s="647" t="s">
        <v>1096</v>
      </c>
    </row>
    <row r="95" spans="1:12" ht="15.75">
      <c r="A95" s="637" t="s">
        <v>672</v>
      </c>
      <c r="B95" s="589"/>
      <c r="C95" s="589"/>
      <c r="D95" s="638"/>
      <c r="E95" s="638"/>
      <c r="F95" s="648">
        <v>1043248</v>
      </c>
      <c r="G95" s="649">
        <v>62111</v>
      </c>
      <c r="H95" s="649">
        <v>60432</v>
      </c>
      <c r="I95" s="639">
        <v>1367572.3957</v>
      </c>
      <c r="J95" s="639">
        <v>1442557</v>
      </c>
      <c r="K95" s="639">
        <f>K147</f>
        <v>-917321.54820754658</v>
      </c>
      <c r="L95" s="618">
        <f>SUM(F95:K95)</f>
        <v>3058598.8474924536</v>
      </c>
    </row>
    <row r="96" spans="1:12" ht="16.5" thickBot="1">
      <c r="A96" s="650"/>
      <c r="B96" s="589"/>
      <c r="C96" s="589"/>
      <c r="D96" s="589"/>
      <c r="E96" s="640"/>
      <c r="F96" s="651"/>
      <c r="G96" s="651"/>
      <c r="H96" s="280"/>
      <c r="I96" s="280"/>
      <c r="J96" s="280"/>
      <c r="K96" s="280"/>
      <c r="L96" s="652"/>
    </row>
    <row r="97" spans="1:12" ht="16.5" thickBot="1">
      <c r="A97" s="634" t="s">
        <v>425</v>
      </c>
      <c r="B97" s="635"/>
      <c r="C97" s="635"/>
      <c r="D97" s="641"/>
      <c r="E97" s="641"/>
      <c r="F97" s="653">
        <f t="shared" ref="F97:K97" si="0">SUM(F95:F96)</f>
        <v>1043248</v>
      </c>
      <c r="G97" s="653">
        <f t="shared" si="0"/>
        <v>62111</v>
      </c>
      <c r="H97" s="653">
        <f t="shared" si="0"/>
        <v>60432</v>
      </c>
      <c r="I97" s="653">
        <f t="shared" si="0"/>
        <v>1367572.3957</v>
      </c>
      <c r="J97" s="653">
        <f t="shared" si="0"/>
        <v>1442557</v>
      </c>
      <c r="K97" s="642">
        <f t="shared" si="0"/>
        <v>-917321.54820754658</v>
      </c>
      <c r="L97" s="654">
        <f>SUM(L95:L95)</f>
        <v>3058598.8474924536</v>
      </c>
    </row>
    <row r="98" spans="1:12" ht="15.75">
      <c r="A98" s="655"/>
      <c r="B98" s="589"/>
      <c r="C98" s="589"/>
      <c r="D98" s="589"/>
      <c r="E98" s="589"/>
      <c r="F98" s="656"/>
      <c r="G98" s="656"/>
      <c r="H98" s="656"/>
      <c r="I98" s="586"/>
      <c r="J98" s="586"/>
      <c r="K98" s="590"/>
      <c r="L98" s="657"/>
    </row>
    <row r="99" spans="1:12" ht="15.75">
      <c r="A99" s="658"/>
      <c r="B99" s="658"/>
      <c r="C99" s="658"/>
      <c r="D99" s="658"/>
      <c r="E99" s="658"/>
      <c r="F99" s="658"/>
      <c r="G99" s="658"/>
      <c r="H99" s="659"/>
      <c r="I99" s="659"/>
      <c r="J99" s="277"/>
      <c r="K99" s="277"/>
      <c r="L99" s="660"/>
    </row>
    <row r="100" spans="1:12" ht="15.75">
      <c r="A100" s="661" t="s">
        <v>1400</v>
      </c>
      <c r="B100" s="658"/>
      <c r="C100" s="658"/>
      <c r="D100" s="658"/>
      <c r="E100" s="658"/>
      <c r="F100" s="658"/>
      <c r="G100" s="658"/>
      <c r="H100" s="659"/>
      <c r="I100" s="659"/>
      <c r="J100" s="277"/>
      <c r="K100" s="277"/>
      <c r="L100" s="660"/>
    </row>
    <row r="101" spans="1:12" ht="15.75">
      <c r="A101" s="661" t="s">
        <v>1401</v>
      </c>
      <c r="B101" s="658"/>
      <c r="C101" s="658"/>
      <c r="D101" s="659">
        <f>J62</f>
        <v>4057159.5796979992</v>
      </c>
      <c r="E101" s="658"/>
      <c r="F101" s="658"/>
      <c r="G101" s="658"/>
      <c r="H101" s="659"/>
      <c r="I101" s="659"/>
      <c r="J101" s="277"/>
      <c r="K101" s="277"/>
      <c r="L101" s="660"/>
    </row>
    <row r="102" spans="1:12" ht="15.75">
      <c r="A102" s="658" t="str">
        <f>E76</f>
        <v>Add  : Surcharge @ 7%</v>
      </c>
      <c r="B102" s="658"/>
      <c r="C102" s="658"/>
      <c r="D102" s="659">
        <v>0</v>
      </c>
      <c r="E102" s="658"/>
      <c r="F102" s="658"/>
      <c r="G102" s="658"/>
      <c r="H102" s="659"/>
      <c r="I102" s="659"/>
      <c r="J102" s="277"/>
      <c r="K102" s="277"/>
      <c r="L102" s="660"/>
    </row>
    <row r="103" spans="1:12" ht="15.75">
      <c r="A103" s="658"/>
      <c r="B103" s="658"/>
      <c r="C103" s="658"/>
      <c r="D103" s="662">
        <f>SUM(D101:D102)</f>
        <v>4057159.5796979992</v>
      </c>
      <c r="E103" s="658"/>
      <c r="F103" s="658"/>
      <c r="G103" s="658"/>
      <c r="H103" s="659"/>
      <c r="I103" s="659"/>
      <c r="J103" s="277"/>
      <c r="K103" s="277"/>
      <c r="L103" s="660"/>
    </row>
    <row r="104" spans="1:12" ht="15.75">
      <c r="A104" s="658" t="str">
        <f>E78</f>
        <v>Add  : Education Cess @ 3%</v>
      </c>
      <c r="B104" s="658"/>
      <c r="C104" s="658"/>
      <c r="D104" s="659">
        <f>D103*0.03</f>
        <v>121714.78739093996</v>
      </c>
      <c r="E104" s="658"/>
      <c r="F104" s="658"/>
      <c r="G104" s="658"/>
      <c r="H104" s="659"/>
      <c r="I104" s="659"/>
      <c r="J104" s="277"/>
      <c r="K104" s="277"/>
      <c r="L104" s="660"/>
    </row>
    <row r="105" spans="1:12" ht="15.75">
      <c r="A105" s="661" t="s">
        <v>1402</v>
      </c>
      <c r="B105" s="658"/>
      <c r="C105" s="658"/>
      <c r="D105" s="663">
        <f>SUM(D103:D104)</f>
        <v>4178874.3670889391</v>
      </c>
      <c r="E105" s="658"/>
      <c r="F105" s="658"/>
      <c r="G105" s="658"/>
      <c r="H105" s="659"/>
      <c r="I105" s="659"/>
      <c r="J105" s="277"/>
      <c r="K105" s="277"/>
      <c r="L105" s="660"/>
    </row>
    <row r="106" spans="1:12" ht="15.75">
      <c r="A106" s="658"/>
      <c r="B106" s="658"/>
      <c r="C106" s="658"/>
      <c r="D106" s="658"/>
      <c r="E106" s="658"/>
      <c r="F106" s="658"/>
      <c r="G106" s="658"/>
      <c r="H106" s="659"/>
      <c r="I106" s="659"/>
      <c r="J106" s="277"/>
      <c r="K106" s="277"/>
      <c r="L106" s="660"/>
    </row>
    <row r="107" spans="1:12" ht="15.75">
      <c r="A107" s="661" t="s">
        <v>1403</v>
      </c>
      <c r="B107" s="658"/>
      <c r="C107" s="658"/>
      <c r="D107" s="658"/>
      <c r="E107" s="658"/>
      <c r="F107" s="658"/>
      <c r="G107" s="658"/>
      <c r="H107" s="658"/>
      <c r="I107" s="658"/>
      <c r="J107" s="586"/>
      <c r="K107" s="586"/>
      <c r="L107" s="664"/>
    </row>
    <row r="108" spans="1:12" ht="15.75">
      <c r="A108" s="658" t="s">
        <v>1404</v>
      </c>
      <c r="B108" s="658"/>
      <c r="C108" s="658"/>
      <c r="D108" s="659">
        <f>J72</f>
        <v>3224819.9116029558</v>
      </c>
      <c r="E108" s="658"/>
      <c r="F108" s="658"/>
      <c r="G108" s="658"/>
      <c r="H108" s="658"/>
      <c r="I108" s="658"/>
      <c r="J108" s="586"/>
      <c r="K108" s="586"/>
      <c r="L108" s="664"/>
    </row>
    <row r="109" spans="1:12" ht="15.75">
      <c r="A109" s="658" t="str">
        <f>A102</f>
        <v>Add  : Surcharge @ 7%</v>
      </c>
      <c r="B109" s="658"/>
      <c r="C109" s="658"/>
      <c r="D109" s="659">
        <v>0</v>
      </c>
      <c r="E109" s="658"/>
      <c r="F109" s="658"/>
      <c r="G109" s="658"/>
      <c r="H109" s="658"/>
      <c r="I109" s="658"/>
      <c r="J109" s="586"/>
      <c r="K109" s="586"/>
      <c r="L109" s="664"/>
    </row>
    <row r="110" spans="1:12" ht="15.75">
      <c r="A110" s="658"/>
      <c r="B110" s="658"/>
      <c r="C110" s="658"/>
      <c r="D110" s="662">
        <f>SUM(D108:D109)</f>
        <v>3224819.9116029558</v>
      </c>
      <c r="E110" s="658"/>
      <c r="F110" s="658"/>
      <c r="G110" s="658"/>
      <c r="H110" s="658"/>
      <c r="I110" s="658"/>
      <c r="J110" s="586"/>
      <c r="K110" s="586"/>
      <c r="L110" s="664"/>
    </row>
    <row r="111" spans="1:12" ht="15.75">
      <c r="A111" s="658" t="s">
        <v>1385</v>
      </c>
      <c r="B111" s="658"/>
      <c r="C111" s="658"/>
      <c r="D111" s="659">
        <f>D110*0.03</f>
        <v>96744.597348088675</v>
      </c>
      <c r="E111" s="658"/>
      <c r="F111" s="658"/>
      <c r="G111" s="658"/>
      <c r="H111" s="658"/>
      <c r="I111" s="658"/>
      <c r="J111" s="586"/>
      <c r="K111" s="586"/>
      <c r="L111" s="664"/>
    </row>
    <row r="112" spans="1:12" ht="15.75">
      <c r="A112" s="661" t="s">
        <v>1405</v>
      </c>
      <c r="B112" s="658"/>
      <c r="C112" s="658"/>
      <c r="D112" s="663">
        <f>SUM(D110:D111)</f>
        <v>3321564.5089510446</v>
      </c>
      <c r="E112" s="658"/>
      <c r="F112" s="658"/>
      <c r="G112" s="658"/>
      <c r="H112" s="658"/>
      <c r="I112" s="658"/>
      <c r="J112" s="586"/>
      <c r="K112" s="586"/>
      <c r="L112" s="664"/>
    </row>
    <row r="113" spans="1:12" ht="15.75">
      <c r="A113" s="658"/>
      <c r="B113" s="658"/>
      <c r="C113" s="658"/>
      <c r="D113" s="658"/>
      <c r="E113" s="658"/>
      <c r="F113" s="658"/>
      <c r="G113" s="658"/>
      <c r="H113" s="658"/>
      <c r="I113" s="658"/>
      <c r="J113" s="586"/>
      <c r="K113" s="586"/>
      <c r="L113" s="664"/>
    </row>
    <row r="114" spans="1:12" ht="15.75">
      <c r="A114" s="658" t="s">
        <v>1406</v>
      </c>
      <c r="B114" s="658"/>
      <c r="C114" s="658"/>
      <c r="D114" s="665">
        <f>IF(D105&gt;D112,0,(D112-D105))</f>
        <v>0</v>
      </c>
      <c r="E114" s="658"/>
      <c r="F114" s="658"/>
      <c r="G114" s="658"/>
      <c r="H114" s="658"/>
      <c r="I114" s="658"/>
      <c r="J114" s="586"/>
      <c r="K114" s="586"/>
      <c r="L114" s="664"/>
    </row>
    <row r="115" spans="1:12" ht="15.75">
      <c r="A115" s="658" t="s">
        <v>1407</v>
      </c>
      <c r="B115" s="658"/>
      <c r="C115" s="658"/>
      <c r="D115" s="665">
        <f>IF(D105&gt;D112,(D105-D112),0)</f>
        <v>857309.85813789442</v>
      </c>
      <c r="E115" s="658"/>
      <c r="F115" s="658"/>
      <c r="G115" s="658"/>
      <c r="H115" s="658"/>
      <c r="I115" s="658"/>
      <c r="J115" s="586"/>
      <c r="K115" s="586"/>
      <c r="L115" s="664"/>
    </row>
    <row r="116" spans="1:12" ht="15.75">
      <c r="A116" s="658"/>
      <c r="B116" s="658"/>
      <c r="C116" s="658"/>
      <c r="D116" s="658"/>
      <c r="E116" s="658"/>
      <c r="F116" s="658"/>
      <c r="G116" s="658"/>
      <c r="H116" s="658"/>
      <c r="I116" s="658"/>
      <c r="J116" s="586"/>
      <c r="K116" s="586"/>
      <c r="L116" s="664"/>
    </row>
    <row r="117" spans="1:12" ht="15.75">
      <c r="A117" s="658"/>
      <c r="B117" s="658"/>
      <c r="C117" s="658"/>
      <c r="D117" s="659"/>
      <c r="E117" s="658"/>
      <c r="F117" s="658"/>
      <c r="G117" s="658"/>
      <c r="H117" s="658"/>
      <c r="I117" s="658"/>
      <c r="J117" s="586"/>
      <c r="K117" s="586"/>
      <c r="L117" s="664"/>
    </row>
    <row r="118" spans="1:12" ht="15.75">
      <c r="A118" s="658"/>
      <c r="B118" s="658"/>
      <c r="C118" s="658"/>
      <c r="D118" s="666"/>
      <c r="E118" s="658"/>
      <c r="F118" s="658"/>
      <c r="G118" s="658"/>
      <c r="H118" s="658"/>
      <c r="I118" s="658"/>
      <c r="J118" s="586"/>
      <c r="K118" s="586"/>
      <c r="L118" s="664"/>
    </row>
    <row r="119" spans="1:12" ht="15.75">
      <c r="A119" s="658"/>
      <c r="B119" s="658"/>
      <c r="C119" s="658"/>
      <c r="D119" s="666"/>
      <c r="E119" s="658"/>
      <c r="F119" s="658"/>
      <c r="G119" s="658"/>
      <c r="H119" s="658"/>
      <c r="I119" s="658"/>
      <c r="J119" s="586"/>
      <c r="K119" s="586"/>
      <c r="L119" s="664"/>
    </row>
    <row r="120" spans="1:12" ht="15.75">
      <c r="A120" s="658"/>
      <c r="B120" s="658"/>
      <c r="C120" s="658"/>
      <c r="D120" s="666"/>
      <c r="E120" s="658"/>
      <c r="F120" s="658"/>
      <c r="G120" s="658"/>
      <c r="H120" s="658"/>
      <c r="I120" s="658"/>
      <c r="J120" s="586"/>
      <c r="K120" s="586"/>
      <c r="L120" s="664"/>
    </row>
    <row r="121" spans="1:12" ht="15.75">
      <c r="A121" s="658"/>
      <c r="B121" s="658"/>
      <c r="C121" s="658"/>
      <c r="D121" s="666"/>
      <c r="E121" s="658"/>
      <c r="F121" s="658"/>
      <c r="G121" s="658"/>
      <c r="H121" s="658"/>
      <c r="I121" s="658"/>
      <c r="J121" s="586"/>
      <c r="K121" s="586"/>
      <c r="L121" s="664"/>
    </row>
    <row r="122" spans="1:12" ht="15.75">
      <c r="A122" s="658"/>
      <c r="B122" s="658"/>
      <c r="C122" s="658"/>
      <c r="D122" s="665"/>
      <c r="E122" s="658"/>
      <c r="F122" s="658"/>
      <c r="G122" s="658"/>
      <c r="H122" s="658"/>
      <c r="I122" s="658"/>
      <c r="J122" s="586"/>
      <c r="K122" s="586"/>
      <c r="L122" s="664"/>
    </row>
    <row r="123" spans="1:12" ht="15.75">
      <c r="A123" s="658"/>
      <c r="B123" s="658"/>
      <c r="C123" s="658"/>
      <c r="D123" s="658"/>
      <c r="E123" s="658"/>
      <c r="F123" s="658"/>
      <c r="G123" s="658"/>
      <c r="H123" s="658"/>
      <c r="I123" s="658"/>
      <c r="J123" s="586"/>
      <c r="K123" s="586"/>
      <c r="L123" s="664"/>
    </row>
    <row r="124" spans="1:12" ht="15.75">
      <c r="A124" s="658"/>
      <c r="B124" s="658"/>
      <c r="C124" s="658"/>
      <c r="D124" s="658"/>
      <c r="E124" s="658"/>
      <c r="F124" s="658"/>
      <c r="G124" s="658"/>
      <c r="H124" s="658"/>
      <c r="I124" s="658"/>
      <c r="J124" s="586"/>
      <c r="K124" s="586"/>
      <c r="L124" s="664"/>
    </row>
    <row r="125" spans="1:12" ht="15.75">
      <c r="A125" s="658"/>
      <c r="B125" s="658"/>
      <c r="C125" s="658"/>
      <c r="D125" s="658"/>
      <c r="E125" s="658"/>
      <c r="F125" s="658"/>
      <c r="G125" s="658"/>
      <c r="H125" s="658"/>
      <c r="I125" s="658"/>
      <c r="J125" s="586"/>
      <c r="K125" s="586"/>
      <c r="L125" s="664"/>
    </row>
    <row r="126" spans="1:12" ht="15.75">
      <c r="A126" s="658"/>
      <c r="B126" s="658"/>
      <c r="C126" s="658"/>
      <c r="D126" s="658"/>
      <c r="E126" s="658"/>
      <c r="F126" s="658"/>
      <c r="G126" s="658"/>
      <c r="H126" s="658"/>
      <c r="I126" s="658"/>
      <c r="J126" s="586"/>
      <c r="K126" s="586"/>
      <c r="L126" s="664"/>
    </row>
    <row r="127" spans="1:12" ht="15.75">
      <c r="A127" s="658"/>
      <c r="B127" s="658"/>
      <c r="C127" s="658"/>
      <c r="D127" s="658"/>
      <c r="E127" s="658"/>
      <c r="F127" s="658"/>
      <c r="G127" s="658"/>
      <c r="H127" s="658"/>
      <c r="I127" s="658"/>
      <c r="J127" s="586"/>
      <c r="K127" s="586"/>
      <c r="L127" s="664"/>
    </row>
    <row r="128" spans="1:12" ht="15.75">
      <c r="A128" s="658"/>
      <c r="B128" s="658"/>
      <c r="C128" s="658"/>
      <c r="D128" s="658"/>
      <c r="E128" s="658"/>
      <c r="F128" s="658"/>
      <c r="G128" s="658"/>
      <c r="H128" s="658"/>
      <c r="I128" s="658"/>
      <c r="J128" s="586"/>
      <c r="K128" s="586"/>
      <c r="L128" s="664"/>
    </row>
    <row r="129" spans="1:12" ht="15.75">
      <c r="A129" s="658"/>
      <c r="B129" s="658"/>
      <c r="C129" s="658"/>
      <c r="D129" s="658"/>
      <c r="E129" s="658"/>
      <c r="F129" s="658"/>
      <c r="G129" s="658"/>
      <c r="H129" s="658"/>
      <c r="I129" s="658"/>
      <c r="J129" s="586"/>
      <c r="K129" s="586"/>
      <c r="L129" s="664"/>
    </row>
    <row r="130" spans="1:12" ht="15.75">
      <c r="A130" s="658"/>
      <c r="B130" s="658"/>
      <c r="C130" s="658"/>
      <c r="D130" s="658"/>
      <c r="E130" s="658"/>
      <c r="F130" s="658"/>
      <c r="G130" s="658"/>
      <c r="H130" s="658"/>
      <c r="I130" s="658"/>
      <c r="J130" s="586"/>
      <c r="K130" s="586"/>
      <c r="L130" s="664"/>
    </row>
    <row r="131" spans="1:12" ht="15.75">
      <c r="A131" s="658"/>
      <c r="B131" s="658"/>
      <c r="C131" s="658"/>
      <c r="D131" s="658"/>
      <c r="E131" s="658"/>
      <c r="F131" s="658"/>
      <c r="G131" s="658"/>
      <c r="H131" s="658"/>
      <c r="I131" s="658"/>
      <c r="J131" s="586"/>
      <c r="K131" s="586"/>
      <c r="L131" s="664"/>
    </row>
    <row r="132" spans="1:12" ht="15.75">
      <c r="A132" s="658"/>
      <c r="B132" s="658"/>
      <c r="C132" s="658"/>
      <c r="D132" s="658"/>
      <c r="E132" s="658"/>
      <c r="F132" s="658"/>
      <c r="G132" s="658"/>
      <c r="H132" s="658"/>
      <c r="I132" s="658"/>
      <c r="J132" s="586"/>
      <c r="K132" s="586"/>
      <c r="L132" s="664"/>
    </row>
    <row r="133" spans="1:12" ht="15.75">
      <c r="A133" s="658"/>
      <c r="B133" s="658"/>
      <c r="C133" s="658"/>
      <c r="D133" s="658"/>
      <c r="E133" s="658"/>
      <c r="F133" s="658"/>
      <c r="G133" s="658"/>
      <c r="H133" s="658"/>
      <c r="I133" s="658"/>
      <c r="J133" s="586"/>
      <c r="K133" s="586"/>
      <c r="L133" s="664"/>
    </row>
    <row r="134" spans="1:12" ht="15.75">
      <c r="A134" s="658"/>
      <c r="B134" s="658"/>
      <c r="C134" s="658"/>
      <c r="D134" s="658"/>
      <c r="E134" s="658"/>
      <c r="F134" s="658"/>
      <c r="G134" s="658"/>
      <c r="H134" s="658"/>
      <c r="I134" s="658"/>
      <c r="J134" s="586"/>
      <c r="K134" s="586"/>
      <c r="L134" s="664"/>
    </row>
    <row r="135" spans="1:12" ht="15.75">
      <c r="A135" s="658"/>
      <c r="B135" s="658"/>
      <c r="C135" s="658"/>
      <c r="D135" s="658"/>
      <c r="E135" s="658"/>
      <c r="F135" s="658"/>
      <c r="G135" s="658"/>
      <c r="H135" s="658"/>
      <c r="I135" s="658"/>
      <c r="J135" s="586"/>
      <c r="K135" s="586"/>
      <c r="L135" s="664"/>
    </row>
    <row r="136" spans="1:12" ht="15.75">
      <c r="A136" s="658"/>
      <c r="B136" s="658"/>
      <c r="C136" s="658"/>
      <c r="D136" s="658"/>
      <c r="E136" s="658"/>
      <c r="F136" s="658"/>
      <c r="G136" s="658"/>
      <c r="H136" s="658"/>
      <c r="I136" s="658"/>
      <c r="J136" s="586"/>
      <c r="K136" s="586"/>
      <c r="L136" s="664"/>
    </row>
    <row r="137" spans="1:12" ht="15.75">
      <c r="A137" s="658"/>
      <c r="B137" s="658"/>
      <c r="C137" s="658"/>
      <c r="D137" s="658"/>
      <c r="E137" s="658"/>
      <c r="F137" s="658"/>
      <c r="G137" s="658"/>
      <c r="H137" s="658"/>
      <c r="I137" s="658"/>
      <c r="J137" s="586"/>
      <c r="K137" s="586"/>
      <c r="L137" s="664"/>
    </row>
    <row r="138" spans="1:12" ht="15.75">
      <c r="A138" s="658"/>
      <c r="B138" s="658"/>
      <c r="C138" s="658"/>
      <c r="D138" s="658"/>
      <c r="E138" s="658"/>
      <c r="F138" s="658"/>
      <c r="G138" s="658"/>
      <c r="H138" s="658"/>
      <c r="I138" s="658"/>
      <c r="J138" s="586"/>
      <c r="K138" s="586"/>
      <c r="L138" s="664"/>
    </row>
    <row r="139" spans="1:12" ht="15.75">
      <c r="A139" s="658"/>
      <c r="B139" s="658"/>
      <c r="C139" s="658"/>
      <c r="D139" s="658"/>
      <c r="E139" s="658"/>
      <c r="F139" s="658"/>
      <c r="G139" s="658"/>
      <c r="H139" s="659"/>
      <c r="I139" s="659"/>
      <c r="J139" s="277"/>
      <c r="K139" s="277"/>
      <c r="L139" s="660"/>
    </row>
    <row r="140" spans="1:12" ht="15.75">
      <c r="A140" s="667" t="s">
        <v>1408</v>
      </c>
      <c r="B140" s="658"/>
      <c r="C140" s="658"/>
      <c r="D140" s="658"/>
      <c r="E140" s="658"/>
      <c r="F140" s="658"/>
      <c r="G140" s="658"/>
      <c r="H140" s="659"/>
      <c r="I140" s="659"/>
      <c r="J140" s="277"/>
      <c r="K140" s="277"/>
      <c r="L140" s="660"/>
    </row>
    <row r="141" spans="1:12" ht="15.75">
      <c r="A141" s="658"/>
      <c r="B141" s="658"/>
      <c r="C141" s="658"/>
      <c r="D141" s="658"/>
      <c r="E141" s="658"/>
      <c r="F141" s="658"/>
      <c r="G141" s="658"/>
      <c r="H141" s="659"/>
      <c r="I141" s="659"/>
      <c r="J141" s="277"/>
      <c r="K141" s="277"/>
      <c r="L141" s="660"/>
    </row>
    <row r="142" spans="1:12" ht="15.75">
      <c r="A142" s="668" t="s">
        <v>1409</v>
      </c>
      <c r="B142" s="669"/>
      <c r="C142" s="669"/>
      <c r="D142" s="669"/>
      <c r="E142" s="658"/>
      <c r="F142" s="658"/>
      <c r="G142" s="658"/>
      <c r="H142" s="281"/>
      <c r="I142" s="281" t="s">
        <v>1410</v>
      </c>
      <c r="J142" s="282"/>
      <c r="K142" s="282"/>
      <c r="L142" s="660"/>
    </row>
    <row r="143" spans="1:12" ht="15.75">
      <c r="A143" s="661" t="s">
        <v>1411</v>
      </c>
      <c r="B143" s="658"/>
      <c r="C143" s="670"/>
      <c r="D143" s="658"/>
      <c r="E143" s="658"/>
      <c r="F143" s="658"/>
      <c r="G143" s="658"/>
      <c r="H143" s="283"/>
      <c r="I143" s="284" t="s">
        <v>1412</v>
      </c>
      <c r="J143" s="285" t="s">
        <v>1413</v>
      </c>
      <c r="K143" s="671"/>
      <c r="L143" s="660"/>
    </row>
    <row r="144" spans="1:12" ht="15.75">
      <c r="A144" s="661"/>
      <c r="B144" s="658"/>
      <c r="C144" s="670"/>
      <c r="D144" s="658"/>
      <c r="E144" s="658"/>
      <c r="F144" s="658"/>
      <c r="G144" s="658"/>
      <c r="H144" s="283"/>
      <c r="I144" s="286">
        <f>J62</f>
        <v>4057159.5796979992</v>
      </c>
      <c r="J144" s="287">
        <f>J72</f>
        <v>3224819.9116029558</v>
      </c>
      <c r="K144" s="672"/>
      <c r="L144" s="660"/>
    </row>
    <row r="145" spans="1:12" ht="15.75">
      <c r="A145" s="658" t="s">
        <v>1414</v>
      </c>
      <c r="B145" s="658"/>
      <c r="C145" s="670">
        <f>'[48]Balance Sheet'!F28</f>
        <v>0</v>
      </c>
      <c r="D145" s="658"/>
      <c r="E145" s="658"/>
      <c r="F145" s="658"/>
      <c r="G145" s="658"/>
      <c r="H145" s="288" t="s">
        <v>1415</v>
      </c>
      <c r="I145" s="286">
        <f>I144*7%</f>
        <v>284001.17057885998</v>
      </c>
      <c r="J145" s="287">
        <f>J144*7%</f>
        <v>225737.39381220692</v>
      </c>
      <c r="K145" s="672"/>
      <c r="L145" s="660"/>
    </row>
    <row r="146" spans="1:12" ht="15.75">
      <c r="A146" s="658" t="s">
        <v>1416</v>
      </c>
      <c r="B146" s="658"/>
      <c r="C146" s="670">
        <f>'[48]Balance Sheet'!F29</f>
        <v>26922650</v>
      </c>
      <c r="D146" s="658"/>
      <c r="E146" s="658"/>
      <c r="F146" s="658"/>
      <c r="G146" s="658"/>
      <c r="H146" s="288" t="s">
        <v>1417</v>
      </c>
      <c r="I146" s="289">
        <f>SUM(I144:I145)*3%</f>
        <v>130234.82250830576</v>
      </c>
      <c r="J146" s="290">
        <f>SUM(J144:J145)*3%</f>
        <v>103516.71916245489</v>
      </c>
      <c r="K146" s="672"/>
      <c r="L146" s="660"/>
    </row>
    <row r="147" spans="1:12" ht="15.75">
      <c r="A147" s="658" t="s">
        <v>1418</v>
      </c>
      <c r="B147" s="658"/>
      <c r="C147" s="670">
        <f>'[48]Balance Sheet'!F33</f>
        <v>26922640</v>
      </c>
      <c r="D147" s="673">
        <f>C145+C146+C147</f>
        <v>53845290</v>
      </c>
      <c r="E147" s="658"/>
      <c r="F147" s="658"/>
      <c r="G147" s="658"/>
      <c r="H147" s="283"/>
      <c r="I147" s="286">
        <f>SUM(I144:I146)</f>
        <v>4471395.5727851642</v>
      </c>
      <c r="J147" s="287">
        <f>SUM(J144:J146)</f>
        <v>3554074.0245776176</v>
      </c>
      <c r="K147" s="674">
        <f>J147-I147</f>
        <v>-917321.54820754658</v>
      </c>
      <c r="L147" s="660"/>
    </row>
    <row r="148" spans="1:12" ht="15.75">
      <c r="A148" s="658" t="s">
        <v>1419</v>
      </c>
      <c r="B148" s="658"/>
      <c r="C148" s="658"/>
      <c r="D148" s="658"/>
      <c r="E148" s="658"/>
      <c r="F148" s="658"/>
      <c r="G148" s="658"/>
      <c r="H148" s="283"/>
      <c r="I148" s="291"/>
      <c r="J148" s="292"/>
      <c r="K148" s="675"/>
      <c r="L148" s="660"/>
    </row>
    <row r="149" spans="1:12" ht="15.75">
      <c r="A149" s="658"/>
      <c r="B149" s="658"/>
      <c r="C149" s="658"/>
      <c r="D149" s="658"/>
      <c r="E149" s="658"/>
      <c r="F149" s="658"/>
      <c r="G149" s="658"/>
      <c r="H149" s="659"/>
      <c r="I149" s="659"/>
      <c r="J149" s="277"/>
      <c r="K149" s="277"/>
      <c r="L149" s="660"/>
    </row>
    <row r="150" spans="1:12" ht="15.75">
      <c r="A150" s="658"/>
      <c r="B150" s="658"/>
      <c r="C150" s="658"/>
      <c r="D150" s="658"/>
      <c r="E150" s="658"/>
      <c r="F150" s="658"/>
      <c r="G150" s="658"/>
      <c r="H150" s="659"/>
      <c r="I150" s="659"/>
      <c r="J150" s="277"/>
      <c r="K150" s="277"/>
      <c r="L150" s="660"/>
    </row>
    <row r="151" spans="1:12" ht="15.75">
      <c r="A151" s="658" t="s">
        <v>1420</v>
      </c>
      <c r="B151" s="658"/>
      <c r="C151" s="658">
        <v>0</v>
      </c>
      <c r="D151" s="658">
        <f>C151</f>
        <v>0</v>
      </c>
      <c r="E151" s="658"/>
      <c r="F151" s="658"/>
      <c r="G151" s="658"/>
      <c r="H151" s="659"/>
      <c r="I151" s="659"/>
      <c r="J151" s="277"/>
      <c r="K151" s="277"/>
      <c r="L151" s="660"/>
    </row>
    <row r="152" spans="1:12" ht="15.75">
      <c r="A152" s="658"/>
      <c r="B152" s="658"/>
      <c r="C152" s="658"/>
      <c r="D152" s="670">
        <f>D147-D151</f>
        <v>53845290</v>
      </c>
      <c r="E152" s="658"/>
      <c r="F152" s="658"/>
      <c r="G152" s="658"/>
      <c r="H152" s="659"/>
      <c r="I152" s="659"/>
      <c r="J152" s="277"/>
      <c r="K152" s="277"/>
      <c r="L152" s="660"/>
    </row>
    <row r="153" spans="1:12" ht="15.75">
      <c r="A153" s="658"/>
      <c r="B153" s="658"/>
      <c r="C153" s="658"/>
      <c r="D153" s="658"/>
      <c r="E153" s="658"/>
      <c r="F153" s="658"/>
      <c r="G153" s="658"/>
      <c r="H153" s="659"/>
      <c r="I153" s="659"/>
      <c r="J153" s="277"/>
      <c r="K153" s="277"/>
      <c r="L153" s="660"/>
    </row>
    <row r="154" spans="1:12" ht="15.75">
      <c r="A154" s="658" t="s">
        <v>1421</v>
      </c>
      <c r="B154" s="658"/>
      <c r="C154" s="658"/>
      <c r="D154" s="658"/>
      <c r="E154" s="658"/>
      <c r="F154" s="658"/>
      <c r="G154" s="658"/>
      <c r="H154" s="659"/>
      <c r="I154" s="659"/>
      <c r="J154" s="277"/>
      <c r="K154" s="277"/>
      <c r="L154" s="660"/>
    </row>
    <row r="155" spans="1:12" ht="15.75">
      <c r="A155" s="661" t="s">
        <v>1422</v>
      </c>
      <c r="B155" s="658"/>
      <c r="C155" s="658"/>
      <c r="D155" s="676" t="s">
        <v>1423</v>
      </c>
      <c r="E155" s="677"/>
      <c r="F155" s="678" t="s">
        <v>1424</v>
      </c>
      <c r="G155" s="678" t="s">
        <v>1425</v>
      </c>
      <c r="H155" s="659"/>
      <c r="I155" s="659"/>
      <c r="J155" s="277"/>
      <c r="K155" s="277"/>
      <c r="L155" s="660"/>
    </row>
    <row r="156" spans="1:12" ht="15.75">
      <c r="A156" s="679">
        <v>50000000</v>
      </c>
      <c r="B156" s="670">
        <v>1000000000</v>
      </c>
      <c r="C156" s="658"/>
      <c r="D156" s="680"/>
      <c r="E156" s="681"/>
      <c r="F156" s="682"/>
      <c r="G156" s="683"/>
      <c r="H156" s="659"/>
      <c r="I156" s="659"/>
      <c r="J156" s="277"/>
      <c r="K156" s="277"/>
      <c r="L156" s="660"/>
    </row>
    <row r="157" spans="1:12" ht="15.75">
      <c r="A157" s="658"/>
      <c r="B157" s="670"/>
      <c r="C157" s="658"/>
      <c r="D157" s="684">
        <f>4200000</f>
        <v>4200000</v>
      </c>
      <c r="E157" s="685"/>
      <c r="F157" s="686">
        <v>2040000</v>
      </c>
      <c r="G157" s="687">
        <f>D157-F157</f>
        <v>2160000</v>
      </c>
      <c r="H157" s="659"/>
      <c r="I157" s="659"/>
      <c r="J157" s="277"/>
      <c r="K157" s="277"/>
      <c r="L157" s="660"/>
    </row>
  </sheetData>
  <customSheetViews>
    <customSheetView guid="{F039C147-8083-49A0-B541-A610A15BA793}" topLeftCell="A22">
      <selection activeCell="B34" sqref="B34"/>
      <pageMargins left="0.7" right="0.7" top="0.75" bottom="0.75" header="0.3" footer="0.3"/>
      <pageSetup orientation="portrait" verticalDpi="0" r:id="rId1"/>
    </customSheetView>
    <customSheetView guid="{F140806D-66CA-4A66-855A-CCBDE7D69760}" topLeftCell="A22">
      <selection activeCell="B34" sqref="B34"/>
      <pageMargins left="0.7" right="0.7" top="0.75" bottom="0.75" header="0.3" footer="0.3"/>
      <pageSetup orientation="portrait" verticalDpi="0" r:id="rId2"/>
    </customSheetView>
  </customSheetViews>
  <mergeCells count="5">
    <mergeCell ref="K19:L19"/>
    <mergeCell ref="A18:L18"/>
    <mergeCell ref="I20:J20"/>
    <mergeCell ref="A65:H65"/>
    <mergeCell ref="I19:J19"/>
  </mergeCells>
  <pageMargins left="0.7" right="0.7" top="0.75" bottom="0.75" header="0.3" footer="0.3"/>
  <pageSetup orientation="portrait" verticalDpi="0"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L39"/>
  <sheetViews>
    <sheetView zoomScale="58" workbookViewId="0">
      <selection activeCell="I10" sqref="I10"/>
    </sheetView>
  </sheetViews>
  <sheetFormatPr defaultRowHeight="15"/>
  <cols>
    <col min="3" max="3" width="59.28515625" bestFit="1" customWidth="1"/>
    <col min="4" max="4" width="5.5703125" bestFit="1" customWidth="1"/>
    <col min="6" max="6" width="42.140625" bestFit="1" customWidth="1"/>
    <col min="9" max="9" width="27.42578125" bestFit="1" customWidth="1"/>
    <col min="10" max="10" width="22.42578125" bestFit="1" customWidth="1"/>
  </cols>
  <sheetData>
    <row r="2" spans="3:12" ht="15.75">
      <c r="C2" s="1551" t="s">
        <v>1340</v>
      </c>
      <c r="D2" s="1552"/>
      <c r="E2" s="1552"/>
      <c r="F2" s="1552"/>
      <c r="G2" s="1552"/>
      <c r="H2" s="1552"/>
      <c r="I2" s="1552"/>
      <c r="J2" s="1553"/>
    </row>
    <row r="3" spans="3:12" ht="15.75">
      <c r="C3" s="391"/>
      <c r="D3" s="392"/>
      <c r="E3" s="392"/>
      <c r="F3" s="393"/>
      <c r="G3" s="393"/>
      <c r="H3" s="393"/>
      <c r="I3" s="392"/>
      <c r="J3" s="394"/>
    </row>
    <row r="4" spans="3:12" ht="15.75">
      <c r="C4" s="1554" t="s">
        <v>1501</v>
      </c>
      <c r="D4" s="1555"/>
      <c r="E4" s="1555"/>
      <c r="F4" s="1555"/>
      <c r="G4" s="1555"/>
      <c r="H4" s="1555"/>
      <c r="I4" s="1555"/>
      <c r="J4" s="1556"/>
    </row>
    <row r="5" spans="3:12" ht="15.75">
      <c r="C5" s="391"/>
      <c r="D5" s="392"/>
      <c r="E5" s="392"/>
      <c r="F5" s="393"/>
      <c r="G5" s="393"/>
      <c r="H5" s="393"/>
      <c r="I5" s="392"/>
      <c r="J5" s="394"/>
    </row>
    <row r="6" spans="3:12" ht="15.75">
      <c r="C6" s="1557">
        <v>43921</v>
      </c>
      <c r="D6" s="1558"/>
      <c r="E6" s="1558"/>
      <c r="F6" s="1558"/>
      <c r="G6" s="1558"/>
      <c r="H6" s="1558"/>
      <c r="I6" s="1558"/>
      <c r="J6" s="1559"/>
    </row>
    <row r="7" spans="3:12" ht="15.75">
      <c r="C7" s="395"/>
      <c r="D7" s="396"/>
      <c r="E7" s="396"/>
      <c r="F7" s="397"/>
      <c r="G7" s="397"/>
      <c r="H7" s="397"/>
      <c r="I7" s="396"/>
      <c r="J7" s="398">
        <f>+L11</f>
        <v>0.27552500000000002</v>
      </c>
      <c r="L7" s="399">
        <v>0.25</v>
      </c>
    </row>
    <row r="8" spans="3:12" ht="15.75">
      <c r="C8" s="400" t="s">
        <v>9</v>
      </c>
      <c r="D8" s="401"/>
      <c r="E8" s="401"/>
      <c r="F8" s="402"/>
      <c r="G8" s="402"/>
      <c r="H8" s="402"/>
      <c r="I8" s="403" t="s">
        <v>1502</v>
      </c>
      <c r="J8" s="403" t="s">
        <v>1503</v>
      </c>
      <c r="L8" s="404">
        <f>+L7*0.07</f>
        <v>1.7500000000000002E-2</v>
      </c>
    </row>
    <row r="9" spans="3:12" ht="15.75">
      <c r="C9" s="405"/>
      <c r="D9" s="406"/>
      <c r="E9" s="406"/>
      <c r="F9" s="407"/>
      <c r="G9" s="408"/>
      <c r="H9" s="407"/>
      <c r="I9" s="409"/>
      <c r="J9" s="409"/>
      <c r="L9" s="410">
        <f>+L7+L8</f>
        <v>0.26750000000000002</v>
      </c>
    </row>
    <row r="10" spans="3:12" ht="15.75">
      <c r="C10" s="411">
        <v>43556</v>
      </c>
      <c r="D10" s="412"/>
      <c r="E10" s="412"/>
      <c r="F10" s="413"/>
      <c r="G10" s="414"/>
      <c r="H10" s="413"/>
      <c r="I10" s="414">
        <f>+BSPL!G369</f>
        <v>20113960.160632532</v>
      </c>
      <c r="J10" s="415"/>
      <c r="L10" s="410">
        <f>+L9*0.03</f>
        <v>8.0250000000000009E-3</v>
      </c>
    </row>
    <row r="11" spans="3:12" ht="15.75">
      <c r="C11" s="416"/>
      <c r="D11" s="417"/>
      <c r="E11" s="417"/>
      <c r="F11" s="418"/>
      <c r="G11" s="419"/>
      <c r="H11" s="418"/>
      <c r="I11" s="420"/>
      <c r="J11" s="420"/>
      <c r="L11" s="421">
        <f>+L9+L10</f>
        <v>0.27552500000000002</v>
      </c>
    </row>
    <row r="12" spans="3:12" ht="15.75">
      <c r="C12" s="422" t="s">
        <v>1504</v>
      </c>
      <c r="D12" s="417"/>
      <c r="E12" s="417"/>
      <c r="F12" s="418"/>
      <c r="G12" s="419"/>
      <c r="H12" s="418"/>
      <c r="I12" s="420"/>
      <c r="J12" s="420"/>
    </row>
    <row r="13" spans="3:12" ht="15.75">
      <c r="C13" s="416" t="s">
        <v>1505</v>
      </c>
      <c r="D13" s="423"/>
      <c r="E13" s="423"/>
      <c r="F13" s="424"/>
      <c r="G13" s="425"/>
      <c r="H13" s="424"/>
      <c r="I13" s="426">
        <f>+BSPL!F8-33965000-18096712</f>
        <v>174333455.21986935</v>
      </c>
      <c r="J13" s="420"/>
    </row>
    <row r="14" spans="3:12" ht="15.75">
      <c r="C14" s="416" t="s">
        <v>1506</v>
      </c>
      <c r="D14" s="423"/>
      <c r="E14" s="423"/>
      <c r="F14" s="424"/>
      <c r="G14" s="425"/>
      <c r="H14" s="424"/>
      <c r="I14" s="426">
        <f>+'Depreciation as per Income Tax'!P60</f>
        <v>98477588.09405598</v>
      </c>
      <c r="J14" s="420"/>
    </row>
    <row r="15" spans="3:12" ht="16.5" thickBot="1">
      <c r="C15" s="422"/>
      <c r="D15" s="423"/>
      <c r="E15" s="423"/>
      <c r="F15" s="427" t="s">
        <v>1507</v>
      </c>
      <c r="G15" s="428"/>
      <c r="H15" s="427"/>
      <c r="I15" s="429">
        <f>+I13-I14</f>
        <v>75855867.125813365</v>
      </c>
      <c r="J15" s="430">
        <f>I15*$J$7</f>
        <v>20900187.78983973</v>
      </c>
    </row>
    <row r="16" spans="3:12" ht="16.5" thickTop="1">
      <c r="C16" s="422"/>
      <c r="D16" s="423"/>
      <c r="E16" s="423"/>
      <c r="F16" s="424"/>
      <c r="G16" s="425"/>
      <c r="H16" s="424"/>
      <c r="I16" s="425"/>
      <c r="J16" s="420"/>
    </row>
    <row r="17" spans="3:10" ht="15.75">
      <c r="C17" s="416"/>
      <c r="D17" s="423"/>
      <c r="E17" s="423"/>
      <c r="F17" s="424"/>
      <c r="G17" s="425"/>
      <c r="H17" s="424"/>
      <c r="I17" s="420"/>
      <c r="J17" s="420"/>
    </row>
    <row r="18" spans="3:10" ht="15.75">
      <c r="C18" s="416" t="s">
        <v>1508</v>
      </c>
      <c r="D18" s="423"/>
      <c r="E18" s="423"/>
      <c r="F18" s="424"/>
      <c r="G18" s="425"/>
      <c r="H18" s="424"/>
      <c r="I18" s="431">
        <f>+Computation!I30</f>
        <v>1259230</v>
      </c>
      <c r="J18" s="420"/>
    </row>
    <row r="19" spans="3:10" ht="15.75">
      <c r="C19" s="416" t="s">
        <v>1509</v>
      </c>
      <c r="D19" s="423"/>
      <c r="E19" s="423"/>
      <c r="F19" s="424"/>
      <c r="G19" s="425"/>
      <c r="H19" s="424"/>
      <c r="I19" s="431">
        <f>+Computation!I25</f>
        <v>850764</v>
      </c>
      <c r="J19" s="420"/>
    </row>
    <row r="20" spans="3:10" ht="15.75">
      <c r="C20" s="416" t="s">
        <v>1510</v>
      </c>
      <c r="D20" s="423"/>
      <c r="E20" s="423"/>
      <c r="F20" s="424"/>
      <c r="G20" s="425"/>
      <c r="H20" s="424"/>
      <c r="I20" s="431">
        <f>+GETPIVOTDATA("Sum of CR-March 20",Pivot!$A$3,"PARTICULARS","Leave Encashment Payable","Note",9,"BS Main Head","Short Term Provision","BS Sub Head","Provision for Employee Benefit")</f>
        <v>195649</v>
      </c>
      <c r="J20" s="420"/>
    </row>
    <row r="21" spans="3:10" ht="16.5" thickBot="1">
      <c r="C21" s="416"/>
      <c r="D21" s="423"/>
      <c r="E21" s="423"/>
      <c r="F21" s="423"/>
      <c r="G21" s="420"/>
      <c r="H21" s="423"/>
      <c r="I21" s="432">
        <f>SUM(I17:I20)</f>
        <v>2305643</v>
      </c>
      <c r="J21" s="430">
        <f>I21*$J$7</f>
        <v>635262.28757500008</v>
      </c>
    </row>
    <row r="22" spans="3:10" ht="16.5" thickTop="1">
      <c r="C22" s="416"/>
      <c r="D22" s="423"/>
      <c r="E22" s="423"/>
      <c r="F22" s="424"/>
      <c r="G22" s="425"/>
      <c r="H22" s="424"/>
      <c r="I22" s="433"/>
      <c r="J22" s="419"/>
    </row>
    <row r="23" spans="3:10" ht="15.75">
      <c r="C23" s="416" t="s">
        <v>1511</v>
      </c>
      <c r="D23" s="423"/>
      <c r="E23" s="423"/>
      <c r="F23" s="424"/>
      <c r="G23" s="425"/>
      <c r="H23" s="424"/>
      <c r="I23" s="425">
        <v>0</v>
      </c>
      <c r="J23" s="420"/>
    </row>
    <row r="24" spans="3:10" ht="16.5" thickBot="1">
      <c r="C24" s="416" t="s">
        <v>630</v>
      </c>
      <c r="D24" s="423"/>
      <c r="E24" s="423"/>
      <c r="F24" s="424"/>
      <c r="G24" s="425"/>
      <c r="H24" s="424"/>
      <c r="I24" s="425">
        <v>0</v>
      </c>
      <c r="J24" s="430">
        <f>(SUM(I23:I24))*$J$7</f>
        <v>0</v>
      </c>
    </row>
    <row r="25" spans="3:10" ht="17.25" thickTop="1" thickBot="1">
      <c r="C25" s="422"/>
      <c r="D25" s="417"/>
      <c r="E25" s="417"/>
      <c r="F25" s="427" t="s">
        <v>1512</v>
      </c>
      <c r="G25" s="428"/>
      <c r="H25" s="427"/>
      <c r="I25" s="429">
        <f>I21+I24+I23</f>
        <v>2305643</v>
      </c>
      <c r="J25" s="429">
        <f>SUM(J18:J24)</f>
        <v>635262.28757500008</v>
      </c>
    </row>
    <row r="26" spans="3:10" ht="16.5" thickTop="1">
      <c r="C26" s="416"/>
      <c r="D26" s="423"/>
      <c r="E26" s="423"/>
      <c r="F26" s="434"/>
      <c r="G26" s="435"/>
      <c r="H26" s="434"/>
      <c r="I26" s="425"/>
      <c r="J26" s="436"/>
    </row>
    <row r="27" spans="3:10" ht="15.75">
      <c r="C27" s="416" t="s">
        <v>1513</v>
      </c>
      <c r="D27" s="423"/>
      <c r="E27" s="423"/>
      <c r="F27" s="434"/>
      <c r="G27" s="435"/>
      <c r="H27" s="434"/>
      <c r="I27" s="425"/>
      <c r="J27" s="425">
        <f>+J25</f>
        <v>635262.28757500008</v>
      </c>
    </row>
    <row r="28" spans="3:10" ht="15.75">
      <c r="C28" s="416" t="s">
        <v>1514</v>
      </c>
      <c r="D28" s="423"/>
      <c r="E28" s="423"/>
      <c r="F28" s="434"/>
      <c r="G28" s="435"/>
      <c r="H28" s="434"/>
      <c r="I28" s="425"/>
      <c r="J28" s="425">
        <f>+J15</f>
        <v>20900187.78983973</v>
      </c>
    </row>
    <row r="29" spans="3:10" ht="16.5" thickBot="1">
      <c r="C29" s="422"/>
      <c r="D29" s="417"/>
      <c r="E29" s="417"/>
      <c r="F29" s="427" t="str">
        <f>IF(J27&gt;J28,"Net Deferred Tax Asset","Net Deferred Tax Liability")</f>
        <v>Net Deferred Tax Liability</v>
      </c>
      <c r="G29" s="428"/>
      <c r="H29" s="427"/>
      <c r="I29" s="429">
        <f>IF(I27&gt;I28,(I27-I28),(I28-I27))</f>
        <v>0</v>
      </c>
      <c r="J29" s="429">
        <f>IF(J27&gt;J28,(J27-J28),(J28-J27))</f>
        <v>20264925.502264731</v>
      </c>
    </row>
    <row r="30" spans="3:10" ht="16.5" thickTop="1">
      <c r="C30" s="416"/>
      <c r="D30" s="417"/>
      <c r="E30" s="423"/>
      <c r="F30" s="424"/>
      <c r="G30" s="425"/>
      <c r="H30" s="424"/>
      <c r="I30" s="419"/>
      <c r="J30" s="420"/>
    </row>
    <row r="31" spans="3:10" ht="15.75">
      <c r="C31" s="416" t="str">
        <f>IF(J28&lt;J27,"Closing Balance of Deferred Tax Assets","Closing Balance of Deferred Tax Liability")</f>
        <v>Closing Balance of Deferred Tax Liability</v>
      </c>
      <c r="D31" s="417"/>
      <c r="E31" s="423"/>
      <c r="F31" s="424"/>
      <c r="G31" s="425"/>
      <c r="H31" s="424"/>
      <c r="I31" s="425">
        <f>IF(J28&lt;J27,(J27-J28),(J28-J27))</f>
        <v>20264925.502264731</v>
      </c>
      <c r="J31" s="437"/>
    </row>
    <row r="32" spans="3:10" ht="15.75">
      <c r="C32" s="416" t="s">
        <v>1515</v>
      </c>
      <c r="D32" s="417"/>
      <c r="E32" s="423"/>
      <c r="F32" s="424"/>
      <c r="G32" s="425"/>
      <c r="H32" s="424"/>
      <c r="I32" s="425">
        <f>+I10</f>
        <v>20113960.160632532</v>
      </c>
      <c r="J32" s="420"/>
    </row>
    <row r="33" spans="3:10" ht="15.75">
      <c r="C33" s="416"/>
      <c r="D33" s="417"/>
      <c r="E33" s="423"/>
      <c r="F33" s="424"/>
      <c r="G33" s="425"/>
      <c r="H33" s="424"/>
      <c r="I33" s="425"/>
      <c r="J33" s="420"/>
    </row>
    <row r="34" spans="3:10" ht="16.5" thickBot="1">
      <c r="C34" s="438" t="s">
        <v>1520</v>
      </c>
      <c r="D34" s="417"/>
      <c r="E34" s="423"/>
      <c r="F34" s="424"/>
      <c r="G34" s="425"/>
      <c r="H34" s="424"/>
      <c r="I34" s="429">
        <f>I31-I32</f>
        <v>150965.34163219854</v>
      </c>
      <c r="J34" s="420"/>
    </row>
    <row r="35" spans="3:10" ht="16.5" thickTop="1">
      <c r="C35" s="439"/>
      <c r="D35" s="440"/>
      <c r="E35" s="441"/>
      <c r="F35" s="442"/>
      <c r="G35" s="443"/>
      <c r="H35" s="442"/>
      <c r="I35" s="444"/>
      <c r="J35" s="445"/>
    </row>
    <row r="36" spans="3:10" ht="15.75">
      <c r="C36" s="422"/>
      <c r="D36" s="417"/>
      <c r="E36" s="423"/>
      <c r="F36" s="424"/>
      <c r="G36" s="425"/>
      <c r="H36" s="424"/>
      <c r="I36" s="419"/>
      <c r="J36" s="420"/>
    </row>
    <row r="37" spans="3:10" ht="15.75">
      <c r="C37" s="422" t="s">
        <v>1516</v>
      </c>
      <c r="D37" s="423"/>
      <c r="E37" s="423"/>
      <c r="F37" s="424"/>
      <c r="G37" s="425"/>
      <c r="H37" s="424"/>
      <c r="I37" s="420"/>
      <c r="J37" s="420"/>
    </row>
    <row r="38" spans="3:10" ht="15.75">
      <c r="C38" s="446" t="s">
        <v>1517</v>
      </c>
      <c r="D38" s="447" t="s">
        <v>1518</v>
      </c>
      <c r="E38" s="412"/>
      <c r="F38" s="448"/>
      <c r="G38" s="449"/>
      <c r="H38" s="448"/>
      <c r="I38" s="450">
        <f>J39</f>
        <v>150965.34163219854</v>
      </c>
      <c r="J38" s="451"/>
    </row>
    <row r="39" spans="3:10" ht="15.75">
      <c r="C39" s="452" t="s">
        <v>1519</v>
      </c>
      <c r="D39" s="453"/>
      <c r="E39" s="453"/>
      <c r="F39" s="454"/>
      <c r="G39" s="455"/>
      <c r="H39" s="454"/>
      <c r="I39" s="456"/>
      <c r="J39" s="457">
        <f>I34</f>
        <v>150965.34163219854</v>
      </c>
    </row>
  </sheetData>
  <customSheetViews>
    <customSheetView guid="{F039C147-8083-49A0-B541-A610A15BA793}" scale="58">
      <selection activeCell="I19" sqref="I19"/>
      <pageMargins left="0.7" right="0.7" top="0.75" bottom="0.75" header="0.3" footer="0.3"/>
    </customSheetView>
    <customSheetView guid="{F140806D-66CA-4A66-855A-CCBDE7D69760}" scale="58">
      <selection activeCell="I19" sqref="I19"/>
      <pageMargins left="0.7" right="0.7" top="0.75" bottom="0.75" header="0.3" footer="0.3"/>
    </customSheetView>
  </customSheetViews>
  <mergeCells count="3">
    <mergeCell ref="C2:J2"/>
    <mergeCell ref="C4:J4"/>
    <mergeCell ref="C6:J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Q78"/>
  <sheetViews>
    <sheetView topLeftCell="A2" zoomScale="65" zoomScaleNormal="65" workbookViewId="0">
      <selection activeCell="A15" sqref="A15"/>
    </sheetView>
  </sheetViews>
  <sheetFormatPr defaultColWidth="8" defaultRowHeight="15"/>
  <cols>
    <col min="1" max="1" width="9.140625" style="298" customWidth="1"/>
    <col min="2" max="2" width="8" style="297" customWidth="1"/>
    <col min="3" max="3" width="27.42578125" style="298" customWidth="1"/>
    <col min="4" max="4" width="17.42578125" style="298" customWidth="1"/>
    <col min="5" max="5" width="19.85546875" style="298" bestFit="1" customWidth="1"/>
    <col min="6" max="6" width="18" style="299" bestFit="1" customWidth="1"/>
    <col min="7" max="7" width="17.28515625" style="298" bestFit="1" customWidth="1"/>
    <col min="8" max="8" width="18.42578125" style="298" hidden="1" customWidth="1"/>
    <col min="9" max="9" width="20" style="298" hidden="1" customWidth="1"/>
    <col min="10" max="10" width="15.140625" style="298" bestFit="1" customWidth="1"/>
    <col min="11" max="11" width="18.5703125" style="298" bestFit="1" customWidth="1"/>
    <col min="12" max="12" width="18" style="298" customWidth="1"/>
    <col min="13" max="13" width="23.28515625" style="298" customWidth="1"/>
    <col min="14" max="14" width="25.85546875" style="298" customWidth="1"/>
    <col min="15" max="15" width="22.28515625" style="298" customWidth="1"/>
    <col min="16" max="16" width="20.42578125" style="298" bestFit="1" customWidth="1"/>
    <col min="17" max="17" width="21.85546875" style="298" customWidth="1"/>
    <col min="18" max="16384" width="8" style="298"/>
  </cols>
  <sheetData>
    <row r="3" spans="2:17">
      <c r="L3" s="300"/>
      <c r="M3" s="300"/>
    </row>
    <row r="4" spans="2:17">
      <c r="B4" s="1563" t="s">
        <v>1445</v>
      </c>
      <c r="C4" s="1564"/>
      <c r="D4" s="1564"/>
      <c r="E4" s="1564"/>
      <c r="F4" s="1564"/>
      <c r="G4" s="1564"/>
      <c r="H4" s="1564"/>
      <c r="I4" s="1564"/>
      <c r="J4" s="1564"/>
      <c r="K4" s="1564"/>
      <c r="L4" s="1564"/>
      <c r="M4" s="1564"/>
      <c r="N4" s="1564"/>
      <c r="O4" s="1564"/>
      <c r="P4" s="1564"/>
      <c r="Q4" s="1565"/>
    </row>
    <row r="5" spans="2:17">
      <c r="B5" s="301"/>
      <c r="C5" s="302"/>
      <c r="D5" s="302"/>
      <c r="E5" s="302"/>
      <c r="F5" s="303"/>
      <c r="G5" s="302"/>
      <c r="H5" s="302"/>
      <c r="I5" s="302"/>
      <c r="J5" s="302"/>
      <c r="K5" s="302"/>
      <c r="L5" s="302"/>
      <c r="M5" s="302"/>
      <c r="N5" s="302"/>
      <c r="O5" s="302"/>
      <c r="P5" s="302"/>
      <c r="Q5" s="304"/>
    </row>
    <row r="6" spans="2:17">
      <c r="B6" s="1566" t="s">
        <v>1446</v>
      </c>
      <c r="C6" s="1567"/>
      <c r="D6" s="1567"/>
      <c r="E6" s="1567"/>
      <c r="F6" s="1567"/>
      <c r="G6" s="1567"/>
      <c r="H6" s="1567"/>
      <c r="I6" s="1567"/>
      <c r="J6" s="1567"/>
      <c r="K6" s="1567"/>
      <c r="L6" s="1567"/>
      <c r="M6" s="1567"/>
      <c r="N6" s="1567"/>
      <c r="O6" s="1567"/>
      <c r="P6" s="1567"/>
      <c r="Q6" s="1568"/>
    </row>
    <row r="7" spans="2:17">
      <c r="B7" s="305"/>
      <c r="C7" s="306"/>
      <c r="D7" s="306"/>
      <c r="E7" s="306"/>
      <c r="F7" s="303"/>
      <c r="G7" s="306"/>
      <c r="H7" s="306"/>
      <c r="I7" s="306"/>
      <c r="J7" s="306"/>
      <c r="K7" s="306"/>
      <c r="L7" s="306"/>
      <c r="M7" s="306"/>
      <c r="N7" s="306"/>
      <c r="O7" s="306"/>
      <c r="P7" s="306"/>
      <c r="Q7" s="304"/>
    </row>
    <row r="8" spans="2:17">
      <c r="B8" s="1569" t="s">
        <v>1447</v>
      </c>
      <c r="C8" s="1570"/>
      <c r="D8" s="1570"/>
      <c r="E8" s="1570"/>
      <c r="F8" s="1570"/>
      <c r="G8" s="1570"/>
      <c r="H8" s="1570"/>
      <c r="I8" s="1570"/>
      <c r="J8" s="1570"/>
      <c r="K8" s="1570"/>
      <c r="L8" s="1570"/>
      <c r="M8" s="1570"/>
      <c r="N8" s="1570"/>
      <c r="O8" s="1570"/>
      <c r="P8" s="1570"/>
      <c r="Q8" s="1571"/>
    </row>
    <row r="9" spans="2:17">
      <c r="B9" s="301"/>
      <c r="C9" s="302"/>
      <c r="D9" s="302"/>
      <c r="E9" s="302"/>
      <c r="F9" s="303"/>
      <c r="G9" s="302"/>
      <c r="H9" s="302"/>
      <c r="I9" s="302"/>
      <c r="J9" s="302"/>
      <c r="K9" s="302"/>
      <c r="L9" s="302"/>
      <c r="M9" s="302"/>
      <c r="N9" s="302"/>
      <c r="O9" s="302"/>
      <c r="P9" s="302"/>
      <c r="Q9" s="304"/>
    </row>
    <row r="10" spans="2:17">
      <c r="B10" s="1572" t="s">
        <v>1448</v>
      </c>
      <c r="C10" s="1573"/>
      <c r="D10" s="1573"/>
      <c r="E10" s="1573"/>
      <c r="F10" s="1573"/>
      <c r="G10" s="1573"/>
      <c r="H10" s="1573"/>
      <c r="I10" s="1573"/>
      <c r="J10" s="1573"/>
      <c r="K10" s="1573"/>
      <c r="L10" s="1573"/>
      <c r="M10" s="1573"/>
      <c r="N10" s="1573"/>
      <c r="O10" s="1573"/>
      <c r="P10" s="1573"/>
      <c r="Q10" s="1574"/>
    </row>
    <row r="11" spans="2:17">
      <c r="B11" s="307"/>
      <c r="C11" s="303"/>
      <c r="D11" s="303"/>
      <c r="E11" s="303"/>
      <c r="F11" s="303"/>
      <c r="G11" s="303"/>
      <c r="H11" s="303"/>
      <c r="I11" s="303"/>
      <c r="J11" s="303"/>
      <c r="K11" s="303"/>
      <c r="L11" s="303"/>
      <c r="M11" s="303"/>
      <c r="N11" s="303"/>
      <c r="O11" s="303"/>
      <c r="P11" s="303"/>
      <c r="Q11" s="304"/>
    </row>
    <row r="12" spans="2:17">
      <c r="B12" s="1572" t="s">
        <v>1449</v>
      </c>
      <c r="C12" s="1573"/>
      <c r="D12" s="1573"/>
      <c r="E12" s="1573"/>
      <c r="F12" s="1573"/>
      <c r="G12" s="1573"/>
      <c r="H12" s="1573"/>
      <c r="I12" s="1573"/>
      <c r="J12" s="1573"/>
      <c r="K12" s="1573"/>
      <c r="L12" s="1573"/>
      <c r="M12" s="1573"/>
      <c r="N12" s="1573"/>
      <c r="O12" s="1573"/>
      <c r="P12" s="1573"/>
      <c r="Q12" s="1574"/>
    </row>
    <row r="13" spans="2:17">
      <c r="B13" s="308"/>
      <c r="C13" s="309"/>
      <c r="D13" s="310"/>
      <c r="E13" s="309"/>
      <c r="F13" s="309"/>
      <c r="G13" s="309"/>
      <c r="H13" s="309"/>
      <c r="I13" s="309"/>
      <c r="J13" s="309"/>
      <c r="K13" s="309"/>
      <c r="L13" s="309"/>
      <c r="M13" s="309"/>
      <c r="N13" s="309"/>
      <c r="O13" s="309"/>
      <c r="P13" s="309"/>
      <c r="Q13" s="304"/>
    </row>
    <row r="14" spans="2:17">
      <c r="B14" s="311" t="s">
        <v>1450</v>
      </c>
      <c r="C14" s="312" t="s">
        <v>1451</v>
      </c>
      <c r="D14" s="313" t="s">
        <v>1452</v>
      </c>
      <c r="E14" s="314" t="s">
        <v>1453</v>
      </c>
      <c r="F14" s="1575" t="s">
        <v>1454</v>
      </c>
      <c r="G14" s="1576"/>
      <c r="H14" s="1577" t="s">
        <v>1455</v>
      </c>
      <c r="I14" s="1578"/>
      <c r="J14" s="315" t="s">
        <v>1456</v>
      </c>
      <c r="K14" s="314" t="s">
        <v>425</v>
      </c>
      <c r="L14" s="314" t="s">
        <v>1457</v>
      </c>
      <c r="M14" s="1560" t="s">
        <v>1458</v>
      </c>
      <c r="N14" s="1560" t="s">
        <v>1459</v>
      </c>
      <c r="O14" s="1560" t="s">
        <v>1460</v>
      </c>
      <c r="P14" s="314" t="s">
        <v>1461</v>
      </c>
      <c r="Q14" s="1560" t="s">
        <v>1462</v>
      </c>
    </row>
    <row r="15" spans="2:17">
      <c r="B15" s="316"/>
      <c r="C15" s="317"/>
      <c r="D15" s="318" t="s">
        <v>1463</v>
      </c>
      <c r="E15" s="318" t="s">
        <v>1521</v>
      </c>
      <c r="F15" s="303" t="s">
        <v>1464</v>
      </c>
      <c r="G15" s="318" t="s">
        <v>1465</v>
      </c>
      <c r="H15" s="303" t="s">
        <v>1464</v>
      </c>
      <c r="I15" s="318" t="s">
        <v>1465</v>
      </c>
      <c r="J15" s="318"/>
      <c r="K15" s="317"/>
      <c r="L15" s="318" t="s">
        <v>1466</v>
      </c>
      <c r="M15" s="1561"/>
      <c r="N15" s="1561"/>
      <c r="O15" s="1561"/>
      <c r="P15" s="319">
        <v>43921</v>
      </c>
      <c r="Q15" s="1561"/>
    </row>
    <row r="16" spans="2:17">
      <c r="B16" s="320"/>
      <c r="C16" s="321"/>
      <c r="D16" s="322"/>
      <c r="E16" s="321"/>
      <c r="F16" s="323" t="s">
        <v>1467</v>
      </c>
      <c r="G16" s="323" t="s">
        <v>1467</v>
      </c>
      <c r="H16" s="323" t="s">
        <v>1467</v>
      </c>
      <c r="I16" s="323" t="s">
        <v>1467</v>
      </c>
      <c r="J16" s="323"/>
      <c r="K16" s="321"/>
      <c r="L16" s="324" t="s">
        <v>1775</v>
      </c>
      <c r="M16" s="1562"/>
      <c r="N16" s="1562"/>
      <c r="O16" s="1562"/>
      <c r="P16" s="321"/>
      <c r="Q16" s="1562"/>
    </row>
    <row r="17" spans="2:17">
      <c r="B17" s="325"/>
      <c r="C17" s="326"/>
      <c r="D17" s="327"/>
      <c r="E17" s="328"/>
      <c r="F17" s="328"/>
      <c r="G17" s="328"/>
      <c r="H17" s="328"/>
      <c r="I17" s="328"/>
      <c r="J17" s="328"/>
      <c r="K17" s="328"/>
      <c r="L17" s="318"/>
      <c r="M17" s="318"/>
      <c r="N17" s="318"/>
      <c r="O17" s="318"/>
      <c r="P17" s="328"/>
      <c r="Q17" s="329"/>
    </row>
    <row r="18" spans="2:17">
      <c r="B18" s="330"/>
      <c r="C18" s="331" t="s">
        <v>1468</v>
      </c>
      <c r="D18" s="332"/>
      <c r="E18" s="328"/>
      <c r="F18" s="328"/>
      <c r="G18" s="328"/>
      <c r="H18" s="328"/>
      <c r="I18" s="328"/>
      <c r="J18" s="328"/>
      <c r="K18" s="328"/>
      <c r="L18" s="318"/>
      <c r="M18" s="318"/>
      <c r="N18" s="318"/>
      <c r="O18" s="318"/>
      <c r="P18" s="328"/>
      <c r="Q18" s="329"/>
    </row>
    <row r="19" spans="2:17">
      <c r="B19" s="333">
        <v>1</v>
      </c>
      <c r="C19" s="334" t="s">
        <v>1469</v>
      </c>
      <c r="D19" s="335">
        <v>0</v>
      </c>
      <c r="E19" s="336">
        <v>1156704</v>
      </c>
      <c r="F19" s="336"/>
      <c r="G19" s="336"/>
      <c r="H19" s="336">
        <v>0</v>
      </c>
      <c r="I19" s="336">
        <v>0</v>
      </c>
      <c r="J19" s="336">
        <v>0</v>
      </c>
      <c r="K19" s="336">
        <f>SUM(F19:G19)</f>
        <v>0</v>
      </c>
      <c r="L19" s="337">
        <f>+((E19+F19-J19)*D19+(G19*D19/2))</f>
        <v>0</v>
      </c>
      <c r="M19" s="337">
        <v>0</v>
      </c>
      <c r="N19" s="337">
        <v>0</v>
      </c>
      <c r="O19" s="337">
        <f>SUM(L19:N19)</f>
        <v>0</v>
      </c>
      <c r="P19" s="336">
        <f>+E19+K19-L19</f>
        <v>1156704</v>
      </c>
      <c r="Q19" s="337">
        <v>0</v>
      </c>
    </row>
    <row r="20" spans="2:17">
      <c r="B20" s="338"/>
      <c r="C20" s="339"/>
      <c r="D20" s="321"/>
      <c r="E20" s="328"/>
      <c r="F20" s="328"/>
      <c r="G20" s="328"/>
      <c r="H20" s="328"/>
      <c r="I20" s="328"/>
      <c r="J20" s="328"/>
      <c r="K20" s="328"/>
      <c r="L20" s="318"/>
      <c r="M20" s="318"/>
      <c r="N20" s="318"/>
      <c r="O20" s="318"/>
      <c r="P20" s="328"/>
      <c r="Q20" s="329"/>
    </row>
    <row r="21" spans="2:17">
      <c r="B21" s="333"/>
      <c r="C21" s="340" t="s">
        <v>1470</v>
      </c>
      <c r="D21" s="341"/>
      <c r="E21" s="342">
        <f t="shared" ref="E21:P21" si="0">SUM(E19:E20)</f>
        <v>1156704</v>
      </c>
      <c r="F21" s="342">
        <f t="shared" si="0"/>
        <v>0</v>
      </c>
      <c r="G21" s="342">
        <f t="shared" si="0"/>
        <v>0</v>
      </c>
      <c r="H21" s="342">
        <f t="shared" si="0"/>
        <v>0</v>
      </c>
      <c r="I21" s="342">
        <f t="shared" si="0"/>
        <v>0</v>
      </c>
      <c r="J21" s="342">
        <f t="shared" si="0"/>
        <v>0</v>
      </c>
      <c r="K21" s="342">
        <f>SUM(K19:K20)</f>
        <v>0</v>
      </c>
      <c r="L21" s="342">
        <f t="shared" si="0"/>
        <v>0</v>
      </c>
      <c r="M21" s="342">
        <f t="shared" si="0"/>
        <v>0</v>
      </c>
      <c r="N21" s="342">
        <f t="shared" si="0"/>
        <v>0</v>
      </c>
      <c r="O21" s="342">
        <f>O19</f>
        <v>0</v>
      </c>
      <c r="P21" s="342">
        <f t="shared" si="0"/>
        <v>1156704</v>
      </c>
      <c r="Q21" s="342">
        <f>SUM(Q19:Q20)</f>
        <v>0</v>
      </c>
    </row>
    <row r="22" spans="2:17">
      <c r="B22" s="325"/>
      <c r="C22" s="326"/>
      <c r="D22" s="327"/>
      <c r="E22" s="328"/>
      <c r="F22" s="328"/>
      <c r="G22" s="328"/>
      <c r="H22" s="328"/>
      <c r="I22" s="328"/>
      <c r="J22" s="328"/>
      <c r="K22" s="328"/>
      <c r="L22" s="318"/>
      <c r="M22" s="318"/>
      <c r="N22" s="318"/>
      <c r="O22" s="318"/>
      <c r="P22" s="328"/>
      <c r="Q22" s="329"/>
    </row>
    <row r="23" spans="2:17">
      <c r="B23" s="330"/>
      <c r="C23" s="331" t="s">
        <v>1471</v>
      </c>
      <c r="D23" s="332"/>
      <c r="E23" s="328"/>
      <c r="F23" s="328"/>
      <c r="G23" s="343"/>
      <c r="H23" s="343"/>
      <c r="I23" s="343"/>
      <c r="J23" s="328"/>
      <c r="K23" s="328"/>
      <c r="L23" s="318"/>
      <c r="M23" s="318"/>
      <c r="N23" s="318"/>
      <c r="O23" s="318"/>
      <c r="P23" s="328"/>
      <c r="Q23" s="318"/>
    </row>
    <row r="24" spans="2:17">
      <c r="B24" s="333">
        <v>2</v>
      </c>
      <c r="C24" s="334" t="s">
        <v>596</v>
      </c>
      <c r="D24" s="335">
        <v>0.1</v>
      </c>
      <c r="E24" s="336">
        <v>21710766.252919797</v>
      </c>
      <c r="F24" s="336">
        <v>0</v>
      </c>
      <c r="G24" s="344">
        <v>979271.15</v>
      </c>
      <c r="H24" s="344">
        <v>0</v>
      </c>
      <c r="I24" s="344">
        <v>0</v>
      </c>
      <c r="J24" s="336"/>
      <c r="K24" s="336">
        <f>SUM(F24:G24)-J24</f>
        <v>979271.15</v>
      </c>
      <c r="L24" s="337">
        <f>+((E24+F24-J24)*D24)+(G24*D24/2)</f>
        <v>2220040.18279198</v>
      </c>
      <c r="M24" s="337">
        <v>0</v>
      </c>
      <c r="N24" s="337">
        <v>0</v>
      </c>
      <c r="O24" s="345">
        <f>SUM(L24:N24)</f>
        <v>2220040.18279198</v>
      </c>
      <c r="P24" s="346">
        <f>+E24+K24-L24</f>
        <v>20469997.220127814</v>
      </c>
      <c r="Q24" s="337">
        <v>0</v>
      </c>
    </row>
    <row r="25" spans="2:17">
      <c r="B25" s="338"/>
      <c r="C25" s="339"/>
      <c r="D25" s="321"/>
      <c r="E25" s="328"/>
      <c r="F25" s="328"/>
      <c r="G25" s="328"/>
      <c r="H25" s="328"/>
      <c r="I25" s="328"/>
      <c r="J25" s="328"/>
      <c r="K25" s="328"/>
      <c r="L25" s="318"/>
      <c r="M25" s="318"/>
      <c r="N25" s="318"/>
      <c r="O25" s="318"/>
      <c r="P25" s="328"/>
      <c r="Q25" s="329"/>
    </row>
    <row r="26" spans="2:17">
      <c r="B26" s="333"/>
      <c r="C26" s="340" t="s">
        <v>1472</v>
      </c>
      <c r="D26" s="341"/>
      <c r="E26" s="342">
        <f t="shared" ref="E26:P26" si="1">+E24</f>
        <v>21710766.252919797</v>
      </c>
      <c r="F26" s="342">
        <f>+F24</f>
        <v>0</v>
      </c>
      <c r="G26" s="342">
        <f t="shared" si="1"/>
        <v>979271.15</v>
      </c>
      <c r="H26" s="342"/>
      <c r="I26" s="342"/>
      <c r="J26" s="342">
        <f>J24</f>
        <v>0</v>
      </c>
      <c r="K26" s="342">
        <f t="shared" si="1"/>
        <v>979271.15</v>
      </c>
      <c r="L26" s="342">
        <f>+L24</f>
        <v>2220040.18279198</v>
      </c>
      <c r="M26" s="342">
        <f t="shared" si="1"/>
        <v>0</v>
      </c>
      <c r="N26" s="342">
        <f t="shared" si="1"/>
        <v>0</v>
      </c>
      <c r="O26" s="342">
        <f>O24</f>
        <v>2220040.18279198</v>
      </c>
      <c r="P26" s="342">
        <f t="shared" si="1"/>
        <v>20469997.220127814</v>
      </c>
      <c r="Q26" s="342">
        <f>+Q24</f>
        <v>0</v>
      </c>
    </row>
    <row r="27" spans="2:17">
      <c r="B27" s="325"/>
      <c r="C27" s="326"/>
      <c r="D27" s="327"/>
      <c r="E27" s="328"/>
      <c r="F27" s="328"/>
      <c r="G27" s="328"/>
      <c r="H27" s="328"/>
      <c r="I27" s="328"/>
      <c r="J27" s="328"/>
      <c r="K27" s="328"/>
      <c r="L27" s="318"/>
      <c r="M27" s="318"/>
      <c r="N27" s="318"/>
      <c r="O27" s="318"/>
      <c r="P27" s="328"/>
      <c r="Q27" s="329"/>
    </row>
    <row r="28" spans="2:17">
      <c r="B28" s="347"/>
      <c r="C28" s="331" t="s">
        <v>1473</v>
      </c>
      <c r="D28" s="348"/>
      <c r="E28" s="336"/>
      <c r="F28" s="344"/>
      <c r="G28" s="343"/>
      <c r="H28" s="343"/>
      <c r="I28" s="343"/>
      <c r="J28" s="343"/>
      <c r="K28" s="349"/>
      <c r="L28" s="350"/>
      <c r="M28" s="350"/>
      <c r="N28" s="350"/>
      <c r="O28" s="350"/>
      <c r="P28" s="336"/>
      <c r="Q28" s="350"/>
    </row>
    <row r="29" spans="2:17">
      <c r="B29" s="347">
        <v>3</v>
      </c>
      <c r="C29" s="334" t="s">
        <v>1474</v>
      </c>
      <c r="D29" s="335">
        <v>0.1</v>
      </c>
      <c r="E29" s="336">
        <v>739302.43769193767</v>
      </c>
      <c r="F29" s="344">
        <v>0</v>
      </c>
      <c r="G29" s="344">
        <v>0</v>
      </c>
      <c r="H29" s="344">
        <v>0</v>
      </c>
      <c r="I29" s="344">
        <v>0</v>
      </c>
      <c r="J29" s="344">
        <v>0</v>
      </c>
      <c r="K29" s="336">
        <f>SUM(F29:G29)-J29</f>
        <v>0</v>
      </c>
      <c r="L29" s="337">
        <f>+((E29+F29-J29)*D29)+(G29*D29/2)</f>
        <v>73930.243769193767</v>
      </c>
      <c r="M29" s="337">
        <v>0</v>
      </c>
      <c r="N29" s="337">
        <v>0</v>
      </c>
      <c r="O29" s="337">
        <f>SUM(L29:N29)</f>
        <v>73930.243769193767</v>
      </c>
      <c r="P29" s="336">
        <f>+E29+K29-L29</f>
        <v>665372.1939227439</v>
      </c>
      <c r="Q29" s="337">
        <v>0</v>
      </c>
    </row>
    <row r="30" spans="2:17">
      <c r="B30" s="347"/>
      <c r="C30" s="351"/>
      <c r="D30" s="335"/>
      <c r="E30" s="336"/>
      <c r="F30" s="344"/>
      <c r="G30" s="344"/>
      <c r="H30" s="344"/>
      <c r="I30" s="344"/>
      <c r="J30" s="344"/>
      <c r="K30" s="336"/>
      <c r="L30" s="337"/>
      <c r="M30" s="337"/>
      <c r="N30" s="337"/>
      <c r="O30" s="337"/>
      <c r="P30" s="336"/>
      <c r="Q30" s="337"/>
    </row>
    <row r="31" spans="2:17">
      <c r="B31" s="352"/>
      <c r="C31" s="340" t="s">
        <v>425</v>
      </c>
      <c r="D31" s="353"/>
      <c r="E31" s="342">
        <f>E29</f>
        <v>739302.43769193767</v>
      </c>
      <c r="F31" s="342">
        <f t="shared" ref="F31:Q31" si="2">F29</f>
        <v>0</v>
      </c>
      <c r="G31" s="342">
        <f t="shared" si="2"/>
        <v>0</v>
      </c>
      <c r="H31" s="342">
        <f t="shared" si="2"/>
        <v>0</v>
      </c>
      <c r="I31" s="342">
        <f t="shared" si="2"/>
        <v>0</v>
      </c>
      <c r="J31" s="342">
        <f t="shared" si="2"/>
        <v>0</v>
      </c>
      <c r="K31" s="342">
        <f t="shared" si="2"/>
        <v>0</v>
      </c>
      <c r="L31" s="342">
        <f t="shared" si="2"/>
        <v>73930.243769193767</v>
      </c>
      <c r="M31" s="342">
        <f t="shared" si="2"/>
        <v>0</v>
      </c>
      <c r="N31" s="342">
        <f t="shared" si="2"/>
        <v>0</v>
      </c>
      <c r="O31" s="342">
        <f>O29</f>
        <v>73930.243769193767</v>
      </c>
      <c r="P31" s="342">
        <f t="shared" si="2"/>
        <v>665372.1939227439</v>
      </c>
      <c r="Q31" s="342">
        <f t="shared" si="2"/>
        <v>0</v>
      </c>
    </row>
    <row r="32" spans="2:17">
      <c r="B32" s="354"/>
      <c r="C32" s="329"/>
      <c r="D32" s="355"/>
      <c r="E32" s="355"/>
      <c r="F32" s="328"/>
      <c r="G32" s="328"/>
      <c r="H32" s="328"/>
      <c r="I32" s="328"/>
      <c r="J32" s="328"/>
      <c r="K32" s="328"/>
      <c r="L32" s="318"/>
      <c r="M32" s="318"/>
      <c r="N32" s="318"/>
      <c r="O32" s="318"/>
      <c r="P32" s="328"/>
      <c r="Q32" s="329"/>
    </row>
    <row r="33" spans="2:17">
      <c r="B33" s="316">
        <v>4</v>
      </c>
      <c r="C33" s="356" t="s">
        <v>1475</v>
      </c>
      <c r="D33" s="335">
        <v>0.1</v>
      </c>
      <c r="E33" s="336">
        <v>13833066.790238822</v>
      </c>
      <c r="F33" s="344">
        <v>509118</v>
      </c>
      <c r="G33" s="344">
        <v>1048362.62</v>
      </c>
      <c r="H33" s="344">
        <v>0</v>
      </c>
      <c r="I33" s="344">
        <v>0</v>
      </c>
      <c r="J33" s="357"/>
      <c r="K33" s="336">
        <f>SUM(F33:G33)-J33</f>
        <v>1557480.62</v>
      </c>
      <c r="L33" s="337">
        <f>+((E33+F33-J33)*D33)+(G33*D33/2)</f>
        <v>1486636.6100238822</v>
      </c>
      <c r="M33" s="337">
        <v>0</v>
      </c>
      <c r="N33" s="337">
        <v>0</v>
      </c>
      <c r="O33" s="337">
        <f>SUM(L33:N33)</f>
        <v>1486636.6100238822</v>
      </c>
      <c r="P33" s="336">
        <f>+E33+K33-L33</f>
        <v>13903910.800214939</v>
      </c>
      <c r="Q33" s="337">
        <v>0</v>
      </c>
    </row>
    <row r="34" spans="2:17">
      <c r="B34" s="354"/>
      <c r="C34" s="329"/>
      <c r="D34" s="355"/>
      <c r="E34" s="355"/>
      <c r="F34" s="328"/>
      <c r="G34" s="328"/>
      <c r="H34" s="328"/>
      <c r="I34" s="328"/>
      <c r="J34" s="328"/>
      <c r="K34" s="328"/>
      <c r="L34" s="318"/>
      <c r="M34" s="318"/>
      <c r="N34" s="318"/>
      <c r="O34" s="318"/>
      <c r="P34" s="328"/>
      <c r="Q34" s="329"/>
    </row>
    <row r="35" spans="2:17">
      <c r="B35" s="352"/>
      <c r="C35" s="358" t="s">
        <v>425</v>
      </c>
      <c r="D35" s="359"/>
      <c r="E35" s="342">
        <f>E33</f>
        <v>13833066.790238822</v>
      </c>
      <c r="F35" s="342">
        <f t="shared" ref="F35:Q35" si="3">F33</f>
        <v>509118</v>
      </c>
      <c r="G35" s="342">
        <f t="shared" si="3"/>
        <v>1048362.62</v>
      </c>
      <c r="H35" s="342">
        <f t="shared" si="3"/>
        <v>0</v>
      </c>
      <c r="I35" s="342">
        <f t="shared" si="3"/>
        <v>0</v>
      </c>
      <c r="J35" s="342">
        <f t="shared" si="3"/>
        <v>0</v>
      </c>
      <c r="K35" s="342">
        <f t="shared" si="3"/>
        <v>1557480.62</v>
      </c>
      <c r="L35" s="342">
        <f t="shared" si="3"/>
        <v>1486636.6100238822</v>
      </c>
      <c r="M35" s="342">
        <f t="shared" si="3"/>
        <v>0</v>
      </c>
      <c r="N35" s="342">
        <f t="shared" si="3"/>
        <v>0</v>
      </c>
      <c r="O35" s="342">
        <f>O33</f>
        <v>1486636.6100238822</v>
      </c>
      <c r="P35" s="342">
        <f t="shared" si="3"/>
        <v>13903910.800214939</v>
      </c>
      <c r="Q35" s="342">
        <f t="shared" si="3"/>
        <v>0</v>
      </c>
    </row>
    <row r="36" spans="2:17" s="361" customFormat="1">
      <c r="B36" s="347"/>
      <c r="C36" s="340" t="s">
        <v>1476</v>
      </c>
      <c r="D36" s="360"/>
      <c r="E36" s="342">
        <f>E35+E31</f>
        <v>14572369.22793076</v>
      </c>
      <c r="F36" s="342">
        <f t="shared" ref="F36:Q36" si="4">F35+F31</f>
        <v>509118</v>
      </c>
      <c r="G36" s="342">
        <f t="shared" si="4"/>
        <v>1048362.62</v>
      </c>
      <c r="H36" s="342">
        <f t="shared" si="4"/>
        <v>0</v>
      </c>
      <c r="I36" s="342">
        <f t="shared" si="4"/>
        <v>0</v>
      </c>
      <c r="J36" s="342">
        <f t="shared" si="4"/>
        <v>0</v>
      </c>
      <c r="K36" s="342">
        <f t="shared" si="4"/>
        <v>1557480.62</v>
      </c>
      <c r="L36" s="342">
        <f t="shared" si="4"/>
        <v>1560566.853793076</v>
      </c>
      <c r="M36" s="342">
        <f t="shared" si="4"/>
        <v>0</v>
      </c>
      <c r="N36" s="342">
        <f t="shared" si="4"/>
        <v>0</v>
      </c>
      <c r="O36" s="342">
        <f>O35+O31</f>
        <v>1560566.853793076</v>
      </c>
      <c r="P36" s="342">
        <f t="shared" si="4"/>
        <v>14569282.994137682</v>
      </c>
      <c r="Q36" s="342">
        <f t="shared" si="4"/>
        <v>0</v>
      </c>
    </row>
    <row r="37" spans="2:17">
      <c r="B37" s="325"/>
      <c r="C37" s="326"/>
      <c r="D37" s="327"/>
      <c r="E37" s="328"/>
      <c r="F37" s="328"/>
      <c r="G37" s="328"/>
      <c r="H37" s="328"/>
      <c r="I37" s="328"/>
      <c r="J37" s="328"/>
      <c r="K37" s="328"/>
      <c r="L37" s="318"/>
      <c r="M37" s="318"/>
      <c r="N37" s="318"/>
      <c r="O37" s="318"/>
      <c r="P37" s="328"/>
      <c r="Q37" s="329"/>
    </row>
    <row r="38" spans="2:17">
      <c r="B38" s="362"/>
      <c r="C38" s="331" t="s">
        <v>1477</v>
      </c>
      <c r="D38" s="363"/>
      <c r="E38" s="336"/>
      <c r="F38" s="364"/>
      <c r="G38" s="364"/>
      <c r="H38" s="364"/>
      <c r="I38" s="364"/>
      <c r="J38" s="364"/>
      <c r="K38" s="364"/>
      <c r="L38" s="336"/>
      <c r="M38" s="336"/>
      <c r="N38" s="336"/>
      <c r="O38" s="336"/>
      <c r="P38" s="336"/>
      <c r="Q38" s="336"/>
    </row>
    <row r="39" spans="2:17">
      <c r="B39" s="347">
        <v>5</v>
      </c>
      <c r="C39" s="334" t="s">
        <v>1478</v>
      </c>
      <c r="D39" s="365">
        <v>0.15</v>
      </c>
      <c r="E39" s="336">
        <v>950539.0341936847</v>
      </c>
      <c r="F39" s="336">
        <v>0</v>
      </c>
      <c r="G39" s="364">
        <v>2668603</v>
      </c>
      <c r="H39" s="364">
        <v>0</v>
      </c>
      <c r="I39" s="364">
        <v>0</v>
      </c>
      <c r="J39" s="364">
        <v>300000</v>
      </c>
      <c r="K39" s="336">
        <f>SUM(F39:G39)-J39</f>
        <v>2368603</v>
      </c>
      <c r="L39" s="337">
        <f>+((E39+F39-J39)*D39)+(G39*D39/2)</f>
        <v>297726.08012905269</v>
      </c>
      <c r="M39" s="337">
        <v>0</v>
      </c>
      <c r="N39" s="337">
        <v>0</v>
      </c>
      <c r="O39" s="337">
        <f>SUM(L39:N39)</f>
        <v>297726.08012905269</v>
      </c>
      <c r="P39" s="336">
        <f>+E39+K39-L39</f>
        <v>3021415.9540646323</v>
      </c>
      <c r="Q39" s="337">
        <v>0</v>
      </c>
    </row>
    <row r="40" spans="2:17">
      <c r="B40" s="338"/>
      <c r="C40" s="339"/>
      <c r="D40" s="321"/>
      <c r="E40" s="328"/>
      <c r="F40" s="328"/>
      <c r="G40" s="328"/>
      <c r="H40" s="328"/>
      <c r="I40" s="328"/>
      <c r="J40" s="328"/>
      <c r="K40" s="328"/>
      <c r="L40" s="318"/>
      <c r="M40" s="318"/>
      <c r="N40" s="318"/>
      <c r="O40" s="318"/>
      <c r="P40" s="328"/>
      <c r="Q40" s="329"/>
    </row>
    <row r="41" spans="2:17">
      <c r="B41" s="333"/>
      <c r="C41" s="340" t="s">
        <v>1479</v>
      </c>
      <c r="D41" s="366"/>
      <c r="E41" s="342">
        <f t="shared" ref="E41:N41" si="5">+E39</f>
        <v>950539.0341936847</v>
      </c>
      <c r="F41" s="342">
        <f t="shared" si="5"/>
        <v>0</v>
      </c>
      <c r="G41" s="342">
        <f t="shared" si="5"/>
        <v>2668603</v>
      </c>
      <c r="H41" s="342">
        <f t="shared" si="5"/>
        <v>0</v>
      </c>
      <c r="I41" s="342">
        <f t="shared" si="5"/>
        <v>0</v>
      </c>
      <c r="J41" s="342">
        <f t="shared" si="5"/>
        <v>300000</v>
      </c>
      <c r="K41" s="342">
        <f t="shared" si="5"/>
        <v>2368603</v>
      </c>
      <c r="L41" s="342">
        <f t="shared" si="5"/>
        <v>297726.08012905269</v>
      </c>
      <c r="M41" s="342">
        <f t="shared" si="5"/>
        <v>0</v>
      </c>
      <c r="N41" s="342">
        <f t="shared" si="5"/>
        <v>0</v>
      </c>
      <c r="O41" s="342">
        <f>O39</f>
        <v>297726.08012905269</v>
      </c>
      <c r="P41" s="342">
        <f>+P39</f>
        <v>3021415.9540646323</v>
      </c>
      <c r="Q41" s="342">
        <f>+Q39</f>
        <v>0</v>
      </c>
    </row>
    <row r="42" spans="2:17">
      <c r="B42" s="325"/>
      <c r="C42" s="326"/>
      <c r="D42" s="327"/>
      <c r="E42" s="328"/>
      <c r="F42" s="328"/>
      <c r="G42" s="328"/>
      <c r="H42" s="328"/>
      <c r="I42" s="328"/>
      <c r="J42" s="328"/>
      <c r="K42" s="328"/>
      <c r="L42" s="318"/>
      <c r="M42" s="318"/>
      <c r="N42" s="318"/>
      <c r="O42" s="318"/>
      <c r="P42" s="328"/>
      <c r="Q42" s="329"/>
    </row>
    <row r="43" spans="2:17">
      <c r="B43" s="347">
        <v>6</v>
      </c>
      <c r="C43" s="367" t="s">
        <v>1480</v>
      </c>
      <c r="D43" s="363"/>
      <c r="E43" s="336"/>
      <c r="F43" s="344"/>
      <c r="G43" s="343"/>
      <c r="H43" s="343"/>
      <c r="I43" s="343"/>
      <c r="J43" s="343"/>
      <c r="K43" s="349"/>
      <c r="L43" s="350"/>
      <c r="M43" s="350"/>
      <c r="N43" s="350"/>
      <c r="O43" s="350"/>
      <c r="P43" s="336"/>
      <c r="Q43" s="329"/>
    </row>
    <row r="44" spans="2:17">
      <c r="B44" s="333" t="s">
        <v>1481</v>
      </c>
      <c r="C44" s="334" t="s">
        <v>261</v>
      </c>
      <c r="D44" s="335">
        <v>0.15</v>
      </c>
      <c r="E44" s="336">
        <v>61366121.089898705</v>
      </c>
      <c r="F44" s="309">
        <v>1201332</v>
      </c>
      <c r="G44" s="336">
        <v>3039211</v>
      </c>
      <c r="H44" s="336">
        <v>0</v>
      </c>
      <c r="I44" s="336">
        <v>0</v>
      </c>
      <c r="J44" s="336">
        <v>0</v>
      </c>
      <c r="K44" s="336">
        <f>SUM(F44:G44)-J44-I44</f>
        <v>4240543</v>
      </c>
      <c r="L44" s="337">
        <f>+((E44+F44-J44)*D44)+(G44*D44/2)</f>
        <v>9613058.7884848043</v>
      </c>
      <c r="M44" s="336">
        <f>((F44*20%)+(G44+I44)*10%)</f>
        <v>544187.5</v>
      </c>
      <c r="N44" s="336">
        <v>236210.1</v>
      </c>
      <c r="O44" s="345">
        <f>SUM(L44:N44)</f>
        <v>10393456.388484804</v>
      </c>
      <c r="P44" s="346">
        <f>+E44+K44-L44-M44-N44</f>
        <v>55213207.7014139</v>
      </c>
      <c r="Q44" s="337">
        <f>(G44+I44)*10%</f>
        <v>303921.10000000003</v>
      </c>
    </row>
    <row r="45" spans="2:17">
      <c r="B45" s="333" t="s">
        <v>1482</v>
      </c>
      <c r="C45" s="368" t="s">
        <v>1483</v>
      </c>
      <c r="D45" s="335">
        <v>0.15</v>
      </c>
      <c r="E45" s="336">
        <v>2202121.96875</v>
      </c>
      <c r="F45" s="309">
        <v>0</v>
      </c>
      <c r="G45" s="336">
        <v>0</v>
      </c>
      <c r="H45" s="336"/>
      <c r="I45" s="336"/>
      <c r="J45" s="336"/>
      <c r="K45" s="336">
        <f>SUM(F45:G45)-J45</f>
        <v>0</v>
      </c>
      <c r="L45" s="337">
        <f>+((E45+F45-J45)*D45)+(G45*D45/2)</f>
        <v>330318.29531249998</v>
      </c>
      <c r="M45" s="337">
        <v>0</v>
      </c>
      <c r="N45" s="337">
        <v>0</v>
      </c>
      <c r="O45" s="345">
        <f t="shared" ref="O45:O46" si="6">SUM(L45:N45)</f>
        <v>330318.29531249998</v>
      </c>
      <c r="P45" s="346">
        <f t="shared" ref="P45:P46" si="7">+E45+K45-L45-M45-N45</f>
        <v>1871803.6734374999</v>
      </c>
      <c r="Q45" s="337">
        <v>0</v>
      </c>
    </row>
    <row r="46" spans="2:17">
      <c r="B46" s="333" t="s">
        <v>1484</v>
      </c>
      <c r="C46" s="368" t="s">
        <v>1485</v>
      </c>
      <c r="D46" s="335">
        <v>0.4</v>
      </c>
      <c r="E46" s="336">
        <v>4148353.5800000005</v>
      </c>
      <c r="F46" s="309">
        <v>0</v>
      </c>
      <c r="G46" s="336">
        <v>0</v>
      </c>
      <c r="H46" s="336"/>
      <c r="I46" s="336"/>
      <c r="J46" s="336"/>
      <c r="K46" s="336">
        <f>SUM(F46:G46)-J46</f>
        <v>0</v>
      </c>
      <c r="L46" s="337">
        <f>+((E46+F46-J46)*D46)+(G46*D46/2)</f>
        <v>1659341.4320000003</v>
      </c>
      <c r="M46" s="336">
        <f>((F46*20%)+(G46+I46)*10%)</f>
        <v>0</v>
      </c>
      <c r="N46" s="336">
        <v>592621.94000000006</v>
      </c>
      <c r="O46" s="345">
        <f t="shared" si="6"/>
        <v>2251963.3720000004</v>
      </c>
      <c r="P46" s="346">
        <f t="shared" si="7"/>
        <v>1896390.2080000001</v>
      </c>
      <c r="Q46" s="337">
        <f>(G46+I46)*10%</f>
        <v>0</v>
      </c>
    </row>
    <row r="47" spans="2:17">
      <c r="B47" s="338"/>
      <c r="C47" s="339"/>
      <c r="D47" s="321"/>
      <c r="E47" s="328"/>
      <c r="F47" s="328"/>
      <c r="G47" s="328"/>
      <c r="H47" s="328"/>
      <c r="I47" s="328"/>
      <c r="J47" s="328"/>
      <c r="K47" s="328"/>
      <c r="L47" s="318"/>
      <c r="M47" s="318"/>
      <c r="N47" s="318"/>
      <c r="O47" s="318"/>
      <c r="P47" s="328"/>
      <c r="Q47" s="329"/>
    </row>
    <row r="48" spans="2:17">
      <c r="B48" s="333"/>
      <c r="C48" s="340" t="s">
        <v>425</v>
      </c>
      <c r="D48" s="341"/>
      <c r="E48" s="342">
        <f>+SUM(E44:E46)</f>
        <v>67716596.638648704</v>
      </c>
      <c r="F48" s="342">
        <f>+SUM(F44:F46)</f>
        <v>1201332</v>
      </c>
      <c r="G48" s="342">
        <f>+SUM(G44:G46)</f>
        <v>3039211</v>
      </c>
      <c r="H48" s="342">
        <f t="shared" ref="H48:M48" si="8">+H44</f>
        <v>0</v>
      </c>
      <c r="I48" s="342">
        <f t="shared" si="8"/>
        <v>0</v>
      </c>
      <c r="J48" s="342">
        <f t="shared" si="8"/>
        <v>0</v>
      </c>
      <c r="K48" s="342">
        <f t="shared" si="8"/>
        <v>4240543</v>
      </c>
      <c r="L48" s="342">
        <f>+SUM(L44:L46)</f>
        <v>11602718.515797304</v>
      </c>
      <c r="M48" s="342">
        <f t="shared" si="8"/>
        <v>544187.5</v>
      </c>
      <c r="N48" s="342">
        <f>+N44+N46</f>
        <v>828832.04</v>
      </c>
      <c r="O48" s="342">
        <f>+SUM(O44:O46)</f>
        <v>12975738.055797305</v>
      </c>
      <c r="P48" s="342">
        <f>+SUM(P44:P46)</f>
        <v>58981401.582851395</v>
      </c>
      <c r="Q48" s="342">
        <f>+SUM(Q44:Q46)</f>
        <v>303921.10000000003</v>
      </c>
    </row>
    <row r="49" spans="2:17">
      <c r="B49" s="325"/>
      <c r="C49" s="326"/>
      <c r="D49" s="327"/>
      <c r="E49" s="328"/>
      <c r="F49" s="328"/>
      <c r="G49" s="328"/>
      <c r="H49" s="328"/>
      <c r="I49" s="328"/>
      <c r="J49" s="328"/>
      <c r="K49" s="328"/>
      <c r="L49" s="318"/>
      <c r="M49" s="318"/>
      <c r="N49" s="318"/>
      <c r="O49" s="318"/>
      <c r="P49" s="328"/>
      <c r="Q49" s="329"/>
    </row>
    <row r="50" spans="2:17">
      <c r="B50" s="333">
        <v>7</v>
      </c>
      <c r="C50" s="334" t="s">
        <v>1486</v>
      </c>
      <c r="D50" s="335">
        <v>0.15</v>
      </c>
      <c r="E50" s="336">
        <v>215719.21208000559</v>
      </c>
      <c r="F50" s="309">
        <v>33203.129999999997</v>
      </c>
      <c r="G50" s="336">
        <v>0</v>
      </c>
      <c r="H50" s="336">
        <v>0</v>
      </c>
      <c r="I50" s="336">
        <v>0</v>
      </c>
      <c r="J50" s="336"/>
      <c r="K50" s="336">
        <f>SUM(F50:G50)-J50</f>
        <v>33203.129999999997</v>
      </c>
      <c r="L50" s="337">
        <f>+((E50+F50-J50)*D50)+(G50*D50/2)</f>
        <v>37338.351312000836</v>
      </c>
      <c r="M50" s="337">
        <v>0</v>
      </c>
      <c r="N50" s="337">
        <v>0</v>
      </c>
      <c r="O50" s="337">
        <f>SUM(L50:N50)</f>
        <v>37338.351312000836</v>
      </c>
      <c r="P50" s="336">
        <f>+E50+K50-L50</f>
        <v>211583.99076800476</v>
      </c>
      <c r="Q50" s="337">
        <v>0</v>
      </c>
    </row>
    <row r="51" spans="2:17">
      <c r="B51" s="338"/>
      <c r="C51" s="339"/>
      <c r="D51" s="321"/>
      <c r="E51" s="328"/>
      <c r="F51" s="328"/>
      <c r="G51" s="328"/>
      <c r="H51" s="328"/>
      <c r="I51" s="328"/>
      <c r="J51" s="328"/>
      <c r="K51" s="328"/>
      <c r="L51" s="318"/>
      <c r="M51" s="318"/>
      <c r="N51" s="318"/>
      <c r="O51" s="318"/>
      <c r="P51" s="328"/>
      <c r="Q51" s="329"/>
    </row>
    <row r="52" spans="2:17">
      <c r="B52" s="369"/>
      <c r="C52" s="370" t="s">
        <v>425</v>
      </c>
      <c r="D52" s="371"/>
      <c r="E52" s="342">
        <f t="shared" ref="E52:Q52" si="9">+E50</f>
        <v>215719.21208000559</v>
      </c>
      <c r="F52" s="342">
        <f>+F50</f>
        <v>33203.129999999997</v>
      </c>
      <c r="G52" s="342">
        <f>+G50</f>
        <v>0</v>
      </c>
      <c r="H52" s="342"/>
      <c r="I52" s="342"/>
      <c r="J52" s="342">
        <f t="shared" si="9"/>
        <v>0</v>
      </c>
      <c r="K52" s="342">
        <f t="shared" si="9"/>
        <v>33203.129999999997</v>
      </c>
      <c r="L52" s="342">
        <f t="shared" si="9"/>
        <v>37338.351312000836</v>
      </c>
      <c r="M52" s="342">
        <f t="shared" si="9"/>
        <v>0</v>
      </c>
      <c r="N52" s="342">
        <f t="shared" si="9"/>
        <v>0</v>
      </c>
      <c r="O52" s="342">
        <f>O50</f>
        <v>37338.351312000836</v>
      </c>
      <c r="P52" s="342">
        <f t="shared" si="9"/>
        <v>211583.99076800476</v>
      </c>
      <c r="Q52" s="342">
        <f t="shared" si="9"/>
        <v>0</v>
      </c>
    </row>
    <row r="53" spans="2:17">
      <c r="B53" s="333"/>
      <c r="C53" s="340" t="s">
        <v>1487</v>
      </c>
      <c r="D53" s="341"/>
      <c r="E53" s="342">
        <f>+E48+E52</f>
        <v>67932315.850728706</v>
      </c>
      <c r="F53" s="342">
        <f t="shared" ref="F53:Q53" si="10">+F48+F52</f>
        <v>1234535.1299999999</v>
      </c>
      <c r="G53" s="342">
        <f t="shared" si="10"/>
        <v>3039211</v>
      </c>
      <c r="H53" s="342">
        <f t="shared" si="10"/>
        <v>0</v>
      </c>
      <c r="I53" s="342">
        <f t="shared" si="10"/>
        <v>0</v>
      </c>
      <c r="J53" s="342">
        <f t="shared" si="10"/>
        <v>0</v>
      </c>
      <c r="K53" s="342">
        <f t="shared" si="10"/>
        <v>4273746.13</v>
      </c>
      <c r="L53" s="342">
        <f t="shared" si="10"/>
        <v>11640056.867109304</v>
      </c>
      <c r="M53" s="342">
        <f t="shared" si="10"/>
        <v>544187.5</v>
      </c>
      <c r="N53" s="342">
        <f t="shared" si="10"/>
        <v>828832.04</v>
      </c>
      <c r="O53" s="342">
        <f>O52+O48</f>
        <v>13013076.407109305</v>
      </c>
      <c r="P53" s="342">
        <f t="shared" si="10"/>
        <v>59192985.573619403</v>
      </c>
      <c r="Q53" s="342">
        <f t="shared" si="10"/>
        <v>303921.10000000003</v>
      </c>
    </row>
    <row r="54" spans="2:17">
      <c r="B54" s="325"/>
      <c r="C54" s="326"/>
      <c r="D54" s="327"/>
      <c r="E54" s="328"/>
      <c r="F54" s="328"/>
      <c r="G54" s="328"/>
      <c r="H54" s="328"/>
      <c r="I54" s="328"/>
      <c r="J54" s="328"/>
      <c r="K54" s="328"/>
      <c r="L54" s="318"/>
      <c r="M54" s="318"/>
      <c r="N54" s="318"/>
      <c r="O54" s="318"/>
      <c r="P54" s="328"/>
      <c r="Q54" s="329"/>
    </row>
    <row r="55" spans="2:17">
      <c r="B55" s="372"/>
      <c r="C55" s="331" t="s">
        <v>1488</v>
      </c>
      <c r="D55" s="373"/>
      <c r="E55" s="336"/>
      <c r="F55" s="336"/>
      <c r="G55" s="374"/>
      <c r="H55" s="374"/>
      <c r="I55" s="374"/>
      <c r="J55" s="374"/>
      <c r="K55" s="336"/>
      <c r="L55" s="336"/>
      <c r="M55" s="336"/>
      <c r="N55" s="336"/>
      <c r="O55" s="336"/>
      <c r="P55" s="336"/>
      <c r="Q55" s="329"/>
    </row>
    <row r="56" spans="2:17">
      <c r="B56" s="372">
        <v>8</v>
      </c>
      <c r="C56" s="334" t="s">
        <v>1489</v>
      </c>
      <c r="D56" s="335">
        <v>0.4</v>
      </c>
      <c r="E56" s="336">
        <v>112003.920177408</v>
      </c>
      <c r="F56" s="336">
        <v>0</v>
      </c>
      <c r="G56" s="375">
        <v>0</v>
      </c>
      <c r="H56" s="375">
        <v>0</v>
      </c>
      <c r="I56" s="375">
        <v>0</v>
      </c>
      <c r="J56" s="375">
        <v>0</v>
      </c>
      <c r="K56" s="336">
        <f>SUM(F56:G56)-J56</f>
        <v>0</v>
      </c>
      <c r="L56" s="337">
        <f>+((E56+F56-J56)*D56)+(G56*D56/2)</f>
        <v>44801.5680709632</v>
      </c>
      <c r="M56" s="337">
        <v>0</v>
      </c>
      <c r="N56" s="337">
        <v>0</v>
      </c>
      <c r="O56" s="345">
        <f>SUM(L56:N56)</f>
        <v>44801.5680709632</v>
      </c>
      <c r="P56" s="346">
        <f>+E56+K56-L56</f>
        <v>67202.3521064448</v>
      </c>
      <c r="Q56" s="337">
        <v>0</v>
      </c>
    </row>
    <row r="57" spans="2:17">
      <c r="B57" s="338"/>
      <c r="C57" s="339"/>
      <c r="D57" s="321"/>
      <c r="E57" s="328"/>
      <c r="F57" s="328"/>
      <c r="G57" s="328"/>
      <c r="H57" s="328"/>
      <c r="I57" s="328"/>
      <c r="J57" s="328"/>
      <c r="K57" s="328"/>
      <c r="L57" s="318"/>
      <c r="M57" s="318"/>
      <c r="N57" s="318"/>
      <c r="O57" s="318"/>
      <c r="P57" s="328"/>
      <c r="Q57" s="329"/>
    </row>
    <row r="58" spans="2:17">
      <c r="B58" s="372"/>
      <c r="C58" s="340" t="s">
        <v>1490</v>
      </c>
      <c r="D58" s="376"/>
      <c r="E58" s="342">
        <f t="shared" ref="E58:N58" si="11">+E56</f>
        <v>112003.920177408</v>
      </c>
      <c r="F58" s="342">
        <f t="shared" si="11"/>
        <v>0</v>
      </c>
      <c r="G58" s="342">
        <f t="shared" si="11"/>
        <v>0</v>
      </c>
      <c r="H58" s="342">
        <f t="shared" si="11"/>
        <v>0</v>
      </c>
      <c r="I58" s="342">
        <f t="shared" si="11"/>
        <v>0</v>
      </c>
      <c r="J58" s="342">
        <f t="shared" si="11"/>
        <v>0</v>
      </c>
      <c r="K58" s="342">
        <f t="shared" si="11"/>
        <v>0</v>
      </c>
      <c r="L58" s="342">
        <f>+L56</f>
        <v>44801.5680709632</v>
      </c>
      <c r="M58" s="342">
        <f t="shared" si="11"/>
        <v>0</v>
      </c>
      <c r="N58" s="342">
        <f t="shared" si="11"/>
        <v>0</v>
      </c>
      <c r="O58" s="342">
        <f>O56</f>
        <v>44801.5680709632</v>
      </c>
      <c r="P58" s="342">
        <f>+P56</f>
        <v>67202.3521064448</v>
      </c>
      <c r="Q58" s="342">
        <f>+Q56</f>
        <v>0</v>
      </c>
    </row>
    <row r="59" spans="2:17">
      <c r="B59" s="325"/>
      <c r="C59" s="326"/>
      <c r="D59" s="327"/>
      <c r="E59" s="328"/>
      <c r="F59" s="328"/>
      <c r="G59" s="328"/>
      <c r="H59" s="328"/>
      <c r="I59" s="328"/>
      <c r="J59" s="328"/>
      <c r="K59" s="328"/>
      <c r="L59" s="318"/>
      <c r="M59" s="318"/>
      <c r="N59" s="318"/>
      <c r="O59" s="318"/>
      <c r="P59" s="328"/>
      <c r="Q59" s="329"/>
    </row>
    <row r="60" spans="2:17">
      <c r="B60" s="377"/>
      <c r="C60" s="370" t="s">
        <v>418</v>
      </c>
      <c r="D60" s="378"/>
      <c r="E60" s="342">
        <f>+E58+E53+E41+E36+E26+E21</f>
        <v>106434698.28595035</v>
      </c>
      <c r="F60" s="342">
        <f>F21+F26+F36+F41+F53++F58</f>
        <v>1743653.13</v>
      </c>
      <c r="G60" s="342">
        <f>G21+G26+G36+G41+G53++G58</f>
        <v>7735447.7699999996</v>
      </c>
      <c r="H60" s="342">
        <f t="shared" ref="H60:J60" si="12">+H58+H53+H41+H36+H26+H21</f>
        <v>0</v>
      </c>
      <c r="I60" s="342">
        <f t="shared" si="12"/>
        <v>0</v>
      </c>
      <c r="J60" s="342">
        <f t="shared" si="12"/>
        <v>300000</v>
      </c>
      <c r="K60" s="342">
        <f t="shared" ref="K60:Q60" si="13">+(K58+K53+K41+K36+K26+K21)</f>
        <v>9179100.9000000004</v>
      </c>
      <c r="L60" s="342">
        <f>+(L58+L53+L41+L36+L26+L21)</f>
        <v>15763191.551894376</v>
      </c>
      <c r="M60" s="342">
        <f>+(M58+M53+M41+M36+M26+M21)</f>
        <v>544187.5</v>
      </c>
      <c r="N60" s="342">
        <f t="shared" si="13"/>
        <v>828832.04</v>
      </c>
      <c r="O60" s="342">
        <f t="shared" si="13"/>
        <v>17136211.091894377</v>
      </c>
      <c r="P60" s="342">
        <f t="shared" si="13"/>
        <v>98477588.09405598</v>
      </c>
      <c r="Q60" s="342">
        <f t="shared" si="13"/>
        <v>303921.10000000003</v>
      </c>
    </row>
    <row r="61" spans="2:17">
      <c r="E61" s="361"/>
      <c r="G61" s="299"/>
      <c r="H61" s="299"/>
      <c r="I61" s="361"/>
      <c r="J61" s="361"/>
      <c r="K61" s="299"/>
      <c r="P61" s="361">
        <f>+E60-P60</f>
        <v>7957110.1918943673</v>
      </c>
    </row>
    <row r="62" spans="2:17">
      <c r="E62" s="361"/>
      <c r="F62" s="299">
        <f>'[48]FA As per Co. Act'!D59</f>
        <v>2840349</v>
      </c>
      <c r="G62" s="299"/>
      <c r="H62" s="299"/>
      <c r="I62" s="299"/>
      <c r="J62" s="361"/>
      <c r="K62" s="361"/>
      <c r="L62" s="379">
        <f>L60/2</f>
        <v>7881595.775947188</v>
      </c>
      <c r="N62" s="361">
        <f>+L60+M60+N60</f>
        <v>17136211.091894377</v>
      </c>
      <c r="P62" s="361">
        <f>P60+[48]Computation!J42</f>
        <v>114945331.67542234</v>
      </c>
    </row>
    <row r="63" spans="2:17">
      <c r="E63" s="361">
        <f>E62-E61</f>
        <v>0</v>
      </c>
      <c r="F63" s="299">
        <f>F60+G60-F62</f>
        <v>6638751.8999999985</v>
      </c>
      <c r="G63" s="299"/>
      <c r="H63" s="299"/>
      <c r="I63" s="361"/>
      <c r="J63" s="361">
        <f>'[48]FA As per Co. Act'!F59</f>
        <v>0</v>
      </c>
      <c r="K63" s="380">
        <f>J62-J63</f>
        <v>0</v>
      </c>
      <c r="L63" s="381"/>
      <c r="M63" s="381">
        <f>E60+F60-L62</f>
        <v>100296755.64000316</v>
      </c>
      <c r="N63" s="381">
        <f>+O60-N62</f>
        <v>0</v>
      </c>
      <c r="O63" s="381"/>
      <c r="P63" s="361"/>
      <c r="Q63" s="361"/>
    </row>
    <row r="64" spans="2:17">
      <c r="C64" s="382" t="s">
        <v>1499</v>
      </c>
      <c r="K64" s="361">
        <f>F60+G60-J60</f>
        <v>9179100.8999999985</v>
      </c>
      <c r="M64" s="381">
        <f>M63-P21</f>
        <v>99140051.64000316</v>
      </c>
      <c r="P64" s="361">
        <f>P62-P21</f>
        <v>113788627.67542234</v>
      </c>
    </row>
    <row r="65" spans="2:16" s="383" customFormat="1">
      <c r="B65" s="297"/>
      <c r="D65" s="384" t="s">
        <v>1491</v>
      </c>
      <c r="E65" s="384" t="s">
        <v>1492</v>
      </c>
      <c r="F65" s="384" t="s">
        <v>1493</v>
      </c>
      <c r="P65" s="385">
        <f>P64-M64</f>
        <v>14648576.035419181</v>
      </c>
    </row>
    <row r="66" spans="2:16">
      <c r="C66" s="361" t="s">
        <v>1494</v>
      </c>
      <c r="D66" s="386">
        <f>F44</f>
        <v>1201332</v>
      </c>
      <c r="E66" s="387">
        <v>0.2</v>
      </c>
      <c r="F66" s="386">
        <f>D66*E66</f>
        <v>240266.40000000002</v>
      </c>
    </row>
    <row r="67" spans="2:16">
      <c r="B67" s="298"/>
      <c r="C67" s="361" t="s">
        <v>1495</v>
      </c>
      <c r="D67" s="386">
        <f>G44</f>
        <v>3039211</v>
      </c>
      <c r="E67" s="387">
        <v>0.1</v>
      </c>
      <c r="F67" s="386">
        <f>D67*E67</f>
        <v>303921.10000000003</v>
      </c>
    </row>
    <row r="68" spans="2:16">
      <c r="B68" s="298"/>
      <c r="D68" s="382"/>
      <c r="F68" s="386"/>
    </row>
    <row r="69" spans="2:16" ht="15.75" thickBot="1">
      <c r="B69" s="298"/>
      <c r="D69" s="388"/>
      <c r="F69" s="389">
        <f>SUM(F66:F68)</f>
        <v>544187.5</v>
      </c>
    </row>
    <row r="70" spans="2:16" ht="15.75" thickTop="1">
      <c r="B70" s="298"/>
      <c r="C70" s="298" t="s">
        <v>1496</v>
      </c>
      <c r="F70" s="299">
        <f>F67</f>
        <v>303921.10000000003</v>
      </c>
    </row>
    <row r="72" spans="2:16">
      <c r="B72" s="298"/>
      <c r="C72" s="382" t="s">
        <v>1500</v>
      </c>
    </row>
    <row r="73" spans="2:16">
      <c r="B73" s="298"/>
      <c r="C73" s="298" t="s">
        <v>1497</v>
      </c>
    </row>
    <row r="74" spans="2:16">
      <c r="B74" s="298"/>
      <c r="C74" s="298" t="s">
        <v>1498</v>
      </c>
      <c r="D74" s="299">
        <v>379900</v>
      </c>
      <c r="E74" s="387">
        <v>0.1</v>
      </c>
      <c r="F74" s="299">
        <f>D74*E74</f>
        <v>37990</v>
      </c>
    </row>
    <row r="75" spans="2:16">
      <c r="B75" s="298"/>
      <c r="D75" s="299"/>
      <c r="F75" s="298"/>
    </row>
    <row r="76" spans="2:16">
      <c r="B76" s="298"/>
      <c r="C76" s="390"/>
      <c r="D76" s="299"/>
      <c r="F76" s="298"/>
    </row>
    <row r="77" spans="2:16">
      <c r="B77" s="298"/>
      <c r="C77" s="390"/>
      <c r="D77" s="299"/>
      <c r="F77" s="298"/>
    </row>
    <row r="78" spans="2:16">
      <c r="B78" s="298"/>
      <c r="E78" s="382"/>
    </row>
  </sheetData>
  <customSheetViews>
    <customSheetView guid="{F039C147-8083-49A0-B541-A610A15BA793}" scale="65" hiddenColumns="1" topLeftCell="A33">
      <selection activeCell="L60" sqref="L60:N60"/>
      <pageMargins left="0.7" right="0.7" top="0.75" bottom="0.75" header="0.3" footer="0.3"/>
    </customSheetView>
    <customSheetView guid="{F140806D-66CA-4A66-855A-CCBDE7D69760}" scale="65" hiddenColumns="1" topLeftCell="A33">
      <selection activeCell="L60" sqref="L60:N60"/>
      <pageMargins left="0.7" right="0.7" top="0.75" bottom="0.75" header="0.3" footer="0.3"/>
    </customSheetView>
  </customSheetViews>
  <mergeCells count="11">
    <mergeCell ref="Q14:Q16"/>
    <mergeCell ref="B4:Q4"/>
    <mergeCell ref="B6:Q6"/>
    <mergeCell ref="B8:Q8"/>
    <mergeCell ref="B10:Q10"/>
    <mergeCell ref="B12:Q12"/>
    <mergeCell ref="F14:G14"/>
    <mergeCell ref="H14:I14"/>
    <mergeCell ref="M14:M16"/>
    <mergeCell ref="N14:N16"/>
    <mergeCell ref="O14:O16"/>
  </mergeCells>
  <hyperlinks>
    <hyperlink ref="B8:P8" location="'3CD '!E96" display="ANNEXURE A"/>
  </hyperlinks>
  <printOptions horizontalCentered="1" verticalCentered="1"/>
  <pageMargins left="0.11811023622047245" right="0.11811023622047245" top="0.15748031496062992" bottom="0.15748031496062992" header="0.31496062992125984" footer="0.31496062992125984"/>
  <pageSetup scale="4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M63"/>
  <sheetViews>
    <sheetView topLeftCell="A10" zoomScale="77" zoomScaleNormal="77" workbookViewId="0">
      <selection activeCell="D20" sqref="D20"/>
    </sheetView>
  </sheetViews>
  <sheetFormatPr defaultRowHeight="15"/>
  <cols>
    <col min="1" max="1" width="3.85546875" style="254" customWidth="1"/>
    <col min="2" max="2" width="27.42578125" style="254" bestFit="1" customWidth="1"/>
    <col min="3" max="3" width="27.42578125" style="88" customWidth="1"/>
    <col min="4" max="4" width="23.7109375" style="254" customWidth="1"/>
    <col min="5" max="5" width="22.140625" style="254" bestFit="1" customWidth="1"/>
    <col min="6" max="6" width="18.28515625" style="254" bestFit="1" customWidth="1"/>
    <col min="7" max="7" width="20" style="254" customWidth="1"/>
    <col min="8" max="8" width="19.5703125" style="254" bestFit="1" customWidth="1"/>
    <col min="9" max="9" width="19" style="254" customWidth="1"/>
    <col min="10" max="10" width="20.42578125" style="254" customWidth="1"/>
    <col min="11" max="11" width="20.140625" style="79" customWidth="1"/>
    <col min="12" max="12" width="20.5703125" style="79" customWidth="1"/>
    <col min="13" max="13" width="19.28515625" style="79" customWidth="1"/>
    <col min="14" max="14" width="16.28515625" style="254" bestFit="1" customWidth="1"/>
    <col min="15" max="15" width="9.140625" style="254"/>
    <col min="16" max="16" width="14.85546875" style="254" customWidth="1"/>
    <col min="17" max="16384" width="9.140625" style="254"/>
  </cols>
  <sheetData>
    <row r="2" spans="2:13">
      <c r="B2" s="1579" t="s">
        <v>750</v>
      </c>
      <c r="C2" s="1579"/>
      <c r="D2" s="1579"/>
      <c r="M2" s="254"/>
    </row>
    <row r="3" spans="2:13">
      <c r="C3" s="80"/>
      <c r="D3" s="81" t="s">
        <v>1235</v>
      </c>
      <c r="H3" s="1579" t="s">
        <v>1236</v>
      </c>
      <c r="I3" s="1579"/>
      <c r="J3" s="1579"/>
      <c r="K3" s="254"/>
      <c r="L3" s="254"/>
      <c r="M3" s="254"/>
    </row>
    <row r="4" spans="2:13">
      <c r="B4" s="82" t="s">
        <v>1237</v>
      </c>
      <c r="C4" s="83" t="s">
        <v>1238</v>
      </c>
      <c r="D4" s="82" t="s">
        <v>543</v>
      </c>
      <c r="I4" s="80"/>
      <c r="J4" s="81" t="s">
        <v>1235</v>
      </c>
      <c r="K4" s="254"/>
      <c r="L4" s="254"/>
      <c r="M4" s="254"/>
    </row>
    <row r="5" spans="2:13">
      <c r="B5" s="255">
        <v>72</v>
      </c>
      <c r="C5" s="85">
        <f>200*100000</f>
        <v>20000000</v>
      </c>
      <c r="D5" s="86">
        <v>275000</v>
      </c>
      <c r="H5" s="82" t="s">
        <v>1237</v>
      </c>
      <c r="I5" s="83" t="s">
        <v>1238</v>
      </c>
      <c r="J5" s="82" t="s">
        <v>544</v>
      </c>
      <c r="K5" s="254"/>
      <c r="L5" s="254"/>
      <c r="M5" s="254"/>
    </row>
    <row r="6" spans="2:13">
      <c r="B6" s="255">
        <v>60</v>
      </c>
      <c r="C6" s="85">
        <f>150*100000</f>
        <v>15000000</v>
      </c>
      <c r="D6" s="86">
        <v>250000</v>
      </c>
      <c r="H6" s="255">
        <v>24</v>
      </c>
      <c r="I6" s="85">
        <v>790000</v>
      </c>
      <c r="J6" s="86">
        <v>37920</v>
      </c>
      <c r="K6" s="254"/>
      <c r="L6" s="254"/>
      <c r="M6" s="254"/>
    </row>
    <row r="7" spans="2:13">
      <c r="B7" s="255">
        <v>63</v>
      </c>
      <c r="C7" s="85">
        <f>400*100000</f>
        <v>40000000</v>
      </c>
      <c r="D7" s="86">
        <v>666000</v>
      </c>
      <c r="H7" s="255">
        <v>18</v>
      </c>
      <c r="I7" s="85">
        <v>300000</v>
      </c>
      <c r="J7" s="86">
        <v>19935</v>
      </c>
      <c r="K7" s="254"/>
      <c r="L7" s="254"/>
      <c r="M7" s="254"/>
    </row>
    <row r="8" spans="2:13">
      <c r="B8" s="255">
        <v>72</v>
      </c>
      <c r="C8" s="85">
        <f>150*100000</f>
        <v>15000000</v>
      </c>
      <c r="D8" s="86">
        <v>200000</v>
      </c>
      <c r="H8" s="255">
        <v>24</v>
      </c>
      <c r="I8" s="85">
        <v>750000</v>
      </c>
      <c r="J8" s="86">
        <v>35375</v>
      </c>
      <c r="K8" s="254"/>
      <c r="L8" s="254"/>
      <c r="M8" s="254"/>
    </row>
    <row r="9" spans="2:13">
      <c r="B9" s="255"/>
      <c r="C9" s="85"/>
      <c r="D9" s="86"/>
      <c r="H9" s="255"/>
      <c r="I9" s="85"/>
      <c r="J9" s="86"/>
      <c r="K9" s="254"/>
      <c r="L9" s="254"/>
      <c r="M9" s="254"/>
    </row>
    <row r="10" spans="2:13">
      <c r="B10" s="255"/>
      <c r="C10" s="85"/>
      <c r="D10" s="85"/>
      <c r="H10" s="255"/>
      <c r="I10" s="85"/>
      <c r="J10" s="86"/>
      <c r="K10" s="254"/>
      <c r="L10" s="254"/>
      <c r="M10" s="254"/>
    </row>
    <row r="11" spans="2:13">
      <c r="B11" s="255"/>
      <c r="C11" s="87"/>
      <c r="D11" s="85">
        <f>SUM(D5:D10)</f>
        <v>1391000</v>
      </c>
      <c r="H11" s="255"/>
      <c r="I11" s="85"/>
      <c r="J11" s="85"/>
      <c r="K11" s="254"/>
      <c r="L11" s="254"/>
      <c r="M11" s="254"/>
    </row>
    <row r="12" spans="2:13">
      <c r="H12" s="255"/>
      <c r="I12" s="87"/>
      <c r="J12" s="85">
        <f>SUM(J6:J11)</f>
        <v>93230</v>
      </c>
      <c r="K12" s="254"/>
      <c r="L12" s="254"/>
    </row>
    <row r="13" spans="2:13">
      <c r="I13" s="88"/>
      <c r="K13" s="254"/>
      <c r="L13" s="254"/>
    </row>
    <row r="14" spans="2:13">
      <c r="I14" s="88"/>
      <c r="K14" s="254"/>
      <c r="L14" s="254"/>
    </row>
    <row r="15" spans="2:13">
      <c r="B15" s="1580"/>
      <c r="C15" s="1580"/>
      <c r="D15" s="1580"/>
      <c r="I15" s="88"/>
      <c r="K15" s="254"/>
      <c r="L15" s="254"/>
      <c r="M15" s="254"/>
    </row>
    <row r="16" spans="2:13">
      <c r="B16" s="89" t="s">
        <v>1239</v>
      </c>
      <c r="C16" s="90" t="s">
        <v>1240</v>
      </c>
      <c r="D16" s="91" t="s">
        <v>1241</v>
      </c>
      <c r="E16" s="256" t="s">
        <v>1242</v>
      </c>
      <c r="F16" s="92" t="s">
        <v>1243</v>
      </c>
      <c r="H16" s="1580" t="s">
        <v>1244</v>
      </c>
      <c r="I16" s="1580"/>
      <c r="J16" s="1580"/>
      <c r="K16" s="254"/>
      <c r="L16" s="254"/>
      <c r="M16" s="254"/>
    </row>
    <row r="17" spans="2:13">
      <c r="B17" s="89" t="s">
        <v>1245</v>
      </c>
      <c r="C17" s="90">
        <v>20000000</v>
      </c>
      <c r="D17" s="91"/>
      <c r="E17" s="257"/>
      <c r="F17" s="93"/>
      <c r="H17" s="89" t="s">
        <v>1239</v>
      </c>
      <c r="I17" s="90" t="s">
        <v>1240</v>
      </c>
      <c r="J17" s="91" t="s">
        <v>1241</v>
      </c>
      <c r="K17" s="256" t="s">
        <v>1242</v>
      </c>
      <c r="L17" s="92" t="s">
        <v>1243</v>
      </c>
    </row>
    <row r="18" spans="2:13">
      <c r="B18" s="255" t="s">
        <v>1246</v>
      </c>
      <c r="C18" s="85">
        <f>(290000*10)+300000</f>
        <v>3200000</v>
      </c>
      <c r="D18" s="258">
        <f>+C17-C18</f>
        <v>16800000</v>
      </c>
      <c r="E18" s="94"/>
      <c r="H18" s="89" t="s">
        <v>1247</v>
      </c>
      <c r="I18" s="90">
        <v>790000</v>
      </c>
      <c r="J18" s="91"/>
      <c r="K18" s="257"/>
      <c r="L18" s="93"/>
    </row>
    <row r="19" spans="2:13">
      <c r="B19" s="255" t="s">
        <v>545</v>
      </c>
      <c r="C19" s="85">
        <f>275000*12</f>
        <v>3300000</v>
      </c>
      <c r="D19" s="258">
        <f>+D18-C19</f>
        <v>13500000</v>
      </c>
      <c r="E19" s="86">
        <v>13774175</v>
      </c>
      <c r="F19" s="259">
        <f>+E19-D19</f>
        <v>274175</v>
      </c>
      <c r="H19" s="255" t="s">
        <v>544</v>
      </c>
      <c r="I19" s="85">
        <f>+(32593+31530+31591+31867+32332+32426+32878+32996+33284+33996)</f>
        <v>325493</v>
      </c>
      <c r="J19" s="258">
        <f>+I18-I19</f>
        <v>464507</v>
      </c>
      <c r="K19" s="94">
        <v>459137</v>
      </c>
      <c r="L19" s="259">
        <f>+J19-K19</f>
        <v>5370</v>
      </c>
    </row>
    <row r="20" spans="2:13">
      <c r="B20" s="255" t="s">
        <v>544</v>
      </c>
      <c r="C20" s="85">
        <f>275000*12</f>
        <v>3300000</v>
      </c>
      <c r="D20" s="258">
        <f>+D19-C20</f>
        <v>10200000</v>
      </c>
      <c r="E20" s="86">
        <v>10474175</v>
      </c>
      <c r="F20" s="259">
        <f>+E20-D20</f>
        <v>274175</v>
      </c>
      <c r="H20" s="255" t="s">
        <v>543</v>
      </c>
      <c r="I20" s="85">
        <f>33870+34287+34464+34867+35069+35375+35756+35995+36361+36626+36945+37310</f>
        <v>426925</v>
      </c>
      <c r="J20" s="258">
        <f>+J19-I20</f>
        <v>37582</v>
      </c>
      <c r="K20" s="86">
        <f>+GETPIVOTDATA("Sum of CR-March 20",Pivot!$A$3,"PARTICULARS","SUNDARAM FINANCE LTD :N006700064 (ForkLift)","Note",4,"BS Main Head","Long Term Borrowings","BS Sub Head","Secured - From Other - Term Loan")</f>
        <v>32212</v>
      </c>
      <c r="L20" s="259">
        <f>+J20-K20</f>
        <v>5370</v>
      </c>
    </row>
    <row r="21" spans="2:13">
      <c r="B21" s="255" t="s">
        <v>543</v>
      </c>
      <c r="C21" s="85">
        <f>275000*12</f>
        <v>3300000</v>
      </c>
      <c r="D21" s="258">
        <f>+D20-C21</f>
        <v>6900000</v>
      </c>
      <c r="E21" s="86">
        <f>+GETPIVOTDATA("Sum of CR-March 20",Pivot!$A$3,"PARTICULARS","S.B.I. Term Loan ( 2 Cr) No. 35531440563","Note",4,"BS Main Head","Long Term Borrowings","BS Sub Head","Secured - From Banks - Term Loan")</f>
        <v>7150762</v>
      </c>
      <c r="F21" s="259">
        <f>+E21-D21</f>
        <v>250762</v>
      </c>
      <c r="H21" s="255" t="s">
        <v>1248</v>
      </c>
      <c r="I21" s="85">
        <v>37582</v>
      </c>
      <c r="J21" s="258">
        <f>+J20-I21</f>
        <v>0</v>
      </c>
      <c r="K21" s="86">
        <v>0</v>
      </c>
      <c r="L21" s="259"/>
    </row>
    <row r="22" spans="2:13">
      <c r="B22" s="255" t="s">
        <v>1248</v>
      </c>
      <c r="C22" s="85">
        <f>275000*12</f>
        <v>3300000</v>
      </c>
      <c r="D22" s="258">
        <f>+D21-C22</f>
        <v>3600000</v>
      </c>
      <c r="E22" s="86"/>
      <c r="F22" s="259"/>
      <c r="H22" s="255"/>
      <c r="I22" s="85"/>
      <c r="J22" s="258"/>
      <c r="K22" s="86"/>
      <c r="L22" s="259"/>
    </row>
    <row r="23" spans="2:13">
      <c r="B23" s="255" t="s">
        <v>1311</v>
      </c>
      <c r="C23" s="85">
        <f>275000*12</f>
        <v>3300000</v>
      </c>
      <c r="D23" s="258">
        <f>+D22-C23</f>
        <v>300000</v>
      </c>
      <c r="E23" s="86"/>
      <c r="H23" s="255"/>
      <c r="I23" s="85"/>
      <c r="J23" s="258"/>
      <c r="K23" s="86">
        <v>0</v>
      </c>
      <c r="L23" s="254"/>
    </row>
    <row r="24" spans="2:13">
      <c r="B24" s="255"/>
      <c r="C24" s="85"/>
      <c r="D24" s="258"/>
      <c r="E24" s="86"/>
      <c r="H24" s="255"/>
      <c r="I24" s="85"/>
      <c r="J24" s="258"/>
      <c r="K24" s="86"/>
      <c r="L24" s="254"/>
    </row>
    <row r="25" spans="2:13">
      <c r="B25" s="89" t="s">
        <v>1249</v>
      </c>
      <c r="C25" s="85">
        <v>15000000</v>
      </c>
      <c r="D25" s="255"/>
      <c r="E25" s="86"/>
      <c r="H25" s="255"/>
      <c r="I25" s="85"/>
      <c r="J25" s="255">
        <v>0</v>
      </c>
      <c r="K25" s="86">
        <f t="shared" ref="K25:K26" si="0">J25*10000000</f>
        <v>0</v>
      </c>
      <c r="L25" s="254"/>
    </row>
    <row r="26" spans="2:13">
      <c r="B26" s="255" t="s">
        <v>1250</v>
      </c>
      <c r="C26" s="85">
        <f>250000*12</f>
        <v>3000000</v>
      </c>
      <c r="D26" s="258">
        <f>+C25-C26</f>
        <v>12000000</v>
      </c>
      <c r="E26" s="94"/>
      <c r="H26" s="89" t="s">
        <v>1251</v>
      </c>
      <c r="I26" s="85">
        <v>300000</v>
      </c>
      <c r="J26" s="255">
        <v>0</v>
      </c>
      <c r="K26" s="86">
        <f t="shared" si="0"/>
        <v>0</v>
      </c>
      <c r="L26" s="254"/>
    </row>
    <row r="27" spans="2:13">
      <c r="B27" s="255" t="s">
        <v>1252</v>
      </c>
      <c r="C27" s="85">
        <f>250000*12</f>
        <v>3000000</v>
      </c>
      <c r="D27" s="258">
        <f>+D26-C27</f>
        <v>9000000</v>
      </c>
      <c r="E27" s="94"/>
      <c r="H27" s="255" t="s">
        <v>544</v>
      </c>
      <c r="I27" s="85">
        <v>183590</v>
      </c>
      <c r="J27" s="258">
        <f>+I26-I27</f>
        <v>116410</v>
      </c>
      <c r="K27" s="94">
        <v>114949</v>
      </c>
      <c r="L27" s="259">
        <f>+J27-K27</f>
        <v>1461</v>
      </c>
    </row>
    <row r="28" spans="2:13">
      <c r="B28" s="255" t="s">
        <v>545</v>
      </c>
      <c r="C28" s="85">
        <f t="shared" ref="C28:C30" si="1">250000*12</f>
        <v>3000000</v>
      </c>
      <c r="D28" s="258">
        <f t="shared" ref="D28:D30" si="2">+D27-C28</f>
        <v>6000000</v>
      </c>
      <c r="E28" s="86">
        <v>6250000</v>
      </c>
      <c r="F28" s="260">
        <f>+D28-E28</f>
        <v>-250000</v>
      </c>
      <c r="H28" s="255" t="s">
        <v>543</v>
      </c>
      <c r="I28" s="85">
        <f>116889-1940</f>
        <v>114949</v>
      </c>
      <c r="J28" s="258">
        <f>+J27-I28</f>
        <v>1461</v>
      </c>
      <c r="K28" s="86">
        <v>0</v>
      </c>
      <c r="L28" s="259">
        <f>+K28-J28</f>
        <v>-1461</v>
      </c>
    </row>
    <row r="29" spans="2:13" s="78" customFormat="1">
      <c r="B29" s="255" t="s">
        <v>544</v>
      </c>
      <c r="C29" s="85">
        <f t="shared" si="1"/>
        <v>3000000</v>
      </c>
      <c r="D29" s="258">
        <f t="shared" si="2"/>
        <v>3000000</v>
      </c>
      <c r="E29" s="86">
        <v>3252350</v>
      </c>
      <c r="F29" s="260">
        <f>+D29-E29</f>
        <v>-252350</v>
      </c>
      <c r="H29" s="255"/>
      <c r="I29" s="85"/>
      <c r="J29" s="258"/>
      <c r="K29" s="86"/>
      <c r="L29" s="259">
        <f>+K29-J29</f>
        <v>0</v>
      </c>
      <c r="M29" s="95"/>
    </row>
    <row r="30" spans="2:13" s="78" customFormat="1">
      <c r="B30" s="255" t="s">
        <v>543</v>
      </c>
      <c r="C30" s="85">
        <f t="shared" si="1"/>
        <v>3000000</v>
      </c>
      <c r="D30" s="258">
        <f t="shared" si="2"/>
        <v>0</v>
      </c>
      <c r="E30" s="86">
        <f>+GETPIVOTDATA("Sum of CR-March 20",Pivot!$A$3,"PARTICULARS","S.B.I. Term Loan New A/c (34484493547) 1.5 Cr","Note",4,"BS Main Head","Long Term Borrowings","BS Sub Head","Secured - From Banks - Term Loan")</f>
        <v>253317</v>
      </c>
      <c r="F30" s="260">
        <f>+D30-E30</f>
        <v>-253317</v>
      </c>
      <c r="H30" s="255"/>
      <c r="I30" s="85"/>
      <c r="J30" s="255"/>
      <c r="K30" s="86"/>
      <c r="L30" s="260"/>
      <c r="M30" s="95"/>
    </row>
    <row r="31" spans="2:13" s="78" customFormat="1">
      <c r="B31" s="255" t="s">
        <v>1248</v>
      </c>
      <c r="C31" s="85"/>
      <c r="D31" s="258"/>
      <c r="E31" s="86"/>
      <c r="F31" s="260"/>
      <c r="H31" s="255"/>
      <c r="I31" s="85"/>
      <c r="J31" s="255"/>
      <c r="K31" s="86"/>
      <c r="L31" s="260"/>
      <c r="M31" s="95"/>
    </row>
    <row r="32" spans="2:13">
      <c r="B32" s="255"/>
      <c r="C32" s="85"/>
      <c r="D32" s="255"/>
      <c r="E32" s="86"/>
      <c r="H32" s="89" t="s">
        <v>1253</v>
      </c>
      <c r="I32" s="85">
        <v>750000</v>
      </c>
      <c r="J32" s="255">
        <v>0</v>
      </c>
      <c r="K32" s="86">
        <f t="shared" ref="K32" si="3">J32*10000000</f>
        <v>0</v>
      </c>
      <c r="L32" s="260"/>
    </row>
    <row r="33" spans="2:13">
      <c r="B33" s="89" t="s">
        <v>1254</v>
      </c>
      <c r="C33" s="85">
        <v>41818000</v>
      </c>
      <c r="D33" s="255"/>
      <c r="E33" s="86"/>
      <c r="H33" s="255" t="s">
        <v>544</v>
      </c>
      <c r="I33" s="85">
        <f>+(27208+27951+28238+28750+28823+29322+29421+29723+30548)</f>
        <v>259984</v>
      </c>
      <c r="J33" s="258">
        <f>+I32-I33</f>
        <v>490016</v>
      </c>
      <c r="K33" s="94">
        <v>484174</v>
      </c>
      <c r="L33" s="259">
        <f>+J33-K33</f>
        <v>5842</v>
      </c>
    </row>
    <row r="34" spans="2:13">
      <c r="B34" s="255" t="s">
        <v>1255</v>
      </c>
      <c r="C34" s="85">
        <f>606000*3</f>
        <v>1818000</v>
      </c>
      <c r="D34" s="258">
        <f>+C33-C34</f>
        <v>40000000</v>
      </c>
      <c r="E34" s="94"/>
      <c r="H34" s="255" t="s">
        <v>543</v>
      </c>
      <c r="I34" s="85">
        <f>+(30342+30807+30970+31421+31611+31936+32365+32596+33010+33270+33612+34049)</f>
        <v>385989</v>
      </c>
      <c r="J34" s="258">
        <f>+J33-I34</f>
        <v>104027</v>
      </c>
      <c r="K34" s="86">
        <f>+GETPIVOTDATA("Sum of CR-March 20",Pivot!$A$3,"PARTICULARS","SUNDARAM FINANCE LTD :N036300010 (Tractor)","Note",4,"BS Main Head","Long Term Borrowings","BS Sub Head","Secured - From Other - Term Loan")</f>
        <v>98185</v>
      </c>
      <c r="L34" s="259">
        <f>+J34-K34</f>
        <v>5842</v>
      </c>
    </row>
    <row r="35" spans="2:13">
      <c r="B35" s="255" t="s">
        <v>1250</v>
      </c>
      <c r="C35" s="85">
        <f>666000*12</f>
        <v>7992000</v>
      </c>
      <c r="D35" s="258">
        <f>+D34-C35</f>
        <v>32008000</v>
      </c>
      <c r="E35" s="94"/>
      <c r="H35" s="255" t="s">
        <v>1248</v>
      </c>
      <c r="I35" s="85">
        <f>34307+34682+35038</f>
        <v>104027</v>
      </c>
      <c r="J35" s="258">
        <f>+J34-I35</f>
        <v>0</v>
      </c>
      <c r="K35" s="254"/>
      <c r="L35" s="254"/>
    </row>
    <row r="36" spans="2:13">
      <c r="B36" s="255" t="s">
        <v>1246</v>
      </c>
      <c r="C36" s="85">
        <f t="shared" ref="C36:C38" si="4">666000*12</f>
        <v>7992000</v>
      </c>
      <c r="D36" s="258">
        <f t="shared" ref="D36:D39" si="5">+D35-C36</f>
        <v>24016000</v>
      </c>
      <c r="E36" s="94"/>
      <c r="H36" s="89"/>
      <c r="I36" s="85"/>
      <c r="J36" s="255"/>
      <c r="K36" s="86"/>
      <c r="L36" s="254"/>
    </row>
    <row r="37" spans="2:13">
      <c r="B37" s="255" t="s">
        <v>545</v>
      </c>
      <c r="C37" s="85">
        <f t="shared" si="4"/>
        <v>7992000</v>
      </c>
      <c r="D37" s="258">
        <f t="shared" si="5"/>
        <v>16024000</v>
      </c>
      <c r="E37" s="86">
        <v>16690000</v>
      </c>
      <c r="F37" s="260">
        <f>+D37-E37</f>
        <v>-666000</v>
      </c>
      <c r="H37" s="255"/>
      <c r="I37" s="85"/>
      <c r="J37" s="258"/>
      <c r="K37" s="94"/>
      <c r="L37" s="254"/>
    </row>
    <row r="38" spans="2:13" s="78" customFormat="1">
      <c r="B38" s="255" t="s">
        <v>544</v>
      </c>
      <c r="C38" s="85">
        <f t="shared" si="4"/>
        <v>7992000</v>
      </c>
      <c r="D38" s="258">
        <f t="shared" si="5"/>
        <v>8032000</v>
      </c>
      <c r="E38" s="86">
        <v>8698000</v>
      </c>
      <c r="F38" s="260">
        <f>+D38-E38</f>
        <v>-666000</v>
      </c>
      <c r="H38" s="255"/>
      <c r="I38" s="85"/>
      <c r="J38" s="258"/>
      <c r="K38" s="86"/>
      <c r="L38" s="260"/>
      <c r="M38" s="95"/>
    </row>
    <row r="39" spans="2:13">
      <c r="B39" s="255" t="s">
        <v>543</v>
      </c>
      <c r="C39" s="85">
        <v>7966503</v>
      </c>
      <c r="D39" s="258">
        <f t="shared" si="5"/>
        <v>65497</v>
      </c>
      <c r="E39" s="1">
        <f>+GETPIVOTDATA("Sum of CR-March 20",Pivot!$A$3,"PARTICULARS","S.B.I. Term Loan A/c (033517180072)  4 Cr","Note",4,"BS Main Head","Long Term Borrowings","BS Sub Head","Secured - From Banks - Term Loan")</f>
        <v>695244</v>
      </c>
      <c r="F39" s="260">
        <f>+D39-E39</f>
        <v>-629747</v>
      </c>
      <c r="H39" s="255"/>
      <c r="I39" s="85"/>
      <c r="J39" s="258"/>
      <c r="K39" s="86"/>
      <c r="L39" s="260"/>
    </row>
    <row r="40" spans="2:13">
      <c r="B40" s="255"/>
      <c r="C40" s="85"/>
      <c r="D40" s="258"/>
      <c r="H40" s="255"/>
      <c r="I40" s="85"/>
      <c r="J40" s="258"/>
      <c r="K40" s="254"/>
      <c r="L40" s="254"/>
    </row>
    <row r="41" spans="2:13">
      <c r="B41" s="89" t="s">
        <v>1256</v>
      </c>
      <c r="C41" s="85">
        <v>15000000</v>
      </c>
      <c r="D41" s="255"/>
      <c r="E41" s="86"/>
      <c r="L41" s="254"/>
    </row>
    <row r="42" spans="2:13">
      <c r="B42" s="255" t="s">
        <v>1246</v>
      </c>
      <c r="C42" s="85">
        <f>200000*12</f>
        <v>2400000</v>
      </c>
      <c r="D42" s="258">
        <f>+C41-C42</f>
        <v>12600000</v>
      </c>
      <c r="E42" s="94"/>
      <c r="H42" s="261"/>
      <c r="I42" s="262"/>
      <c r="J42" s="263"/>
      <c r="L42" s="254"/>
    </row>
    <row r="43" spans="2:13">
      <c r="B43" s="255" t="s">
        <v>545</v>
      </c>
      <c r="C43" s="85">
        <f t="shared" ref="C43:C47" si="6">200000*12</f>
        <v>2400000</v>
      </c>
      <c r="D43" s="258">
        <f t="shared" ref="D43:D46" si="7">+D42-C43</f>
        <v>10200000</v>
      </c>
      <c r="E43" s="86">
        <v>10400000</v>
      </c>
      <c r="F43" s="260">
        <f>+D43-E43</f>
        <v>-200000</v>
      </c>
    </row>
    <row r="44" spans="2:13" s="78" customFormat="1">
      <c r="B44" s="255" t="s">
        <v>544</v>
      </c>
      <c r="C44" s="85">
        <f t="shared" si="6"/>
        <v>2400000</v>
      </c>
      <c r="D44" s="258">
        <f t="shared" si="7"/>
        <v>7800000</v>
      </c>
      <c r="E44" s="86">
        <v>8001231</v>
      </c>
      <c r="F44" s="260">
        <f>+D44-E44</f>
        <v>-201231</v>
      </c>
      <c r="H44" s="89" t="s">
        <v>1251</v>
      </c>
      <c r="K44" s="95"/>
      <c r="L44" s="95"/>
      <c r="M44" s="95"/>
    </row>
    <row r="45" spans="2:13">
      <c r="B45" s="255" t="s">
        <v>543</v>
      </c>
      <c r="C45" s="85">
        <f t="shared" si="6"/>
        <v>2400000</v>
      </c>
      <c r="D45" s="258">
        <f t="shared" si="7"/>
        <v>5400000</v>
      </c>
      <c r="E45" s="1">
        <f>+GETPIVOTDATA("Sum of CR-March 20",Pivot!$A$3,"PARTICULARS","S.B.I. Term Loan Additional (A/cNo.35294966669) 1.5","Note",4,"BS Main Head","Long Term Borrowings","BS Sub Head","Secured - From Banks - Term Loan")</f>
        <v>5601686</v>
      </c>
      <c r="F45" s="260">
        <f>+D45-E45</f>
        <v>-201686</v>
      </c>
      <c r="H45" s="254" t="s">
        <v>1257</v>
      </c>
      <c r="I45" s="88">
        <v>183590</v>
      </c>
      <c r="J45" s="259">
        <f>+I45-I27</f>
        <v>0</v>
      </c>
    </row>
    <row r="46" spans="2:13">
      <c r="B46" s="255" t="s">
        <v>1248</v>
      </c>
      <c r="C46" s="85">
        <f t="shared" si="6"/>
        <v>2400000</v>
      </c>
      <c r="D46" s="258">
        <f t="shared" si="7"/>
        <v>3000000</v>
      </c>
      <c r="H46" s="254" t="s">
        <v>1258</v>
      </c>
      <c r="I46" s="88">
        <f>1461</f>
        <v>1461</v>
      </c>
      <c r="J46" s="259">
        <f>+I48-I46</f>
        <v>183590</v>
      </c>
    </row>
    <row r="47" spans="2:13">
      <c r="B47" s="255" t="s">
        <v>1311</v>
      </c>
      <c r="C47" s="85">
        <f t="shared" si="6"/>
        <v>2400000</v>
      </c>
      <c r="D47" s="258">
        <f t="shared" ref="D47" si="8">+D46-C47</f>
        <v>600000</v>
      </c>
      <c r="E47" s="261"/>
      <c r="F47" s="261"/>
      <c r="G47" s="261"/>
      <c r="H47" s="261"/>
      <c r="I47" s="264">
        <f>+I45+I46</f>
        <v>185051</v>
      </c>
      <c r="J47" s="263"/>
    </row>
    <row r="48" spans="2:13">
      <c r="B48" s="265"/>
      <c r="C48" s="266"/>
      <c r="D48" s="261"/>
      <c r="E48" s="261"/>
      <c r="F48" s="261"/>
      <c r="G48" s="261"/>
      <c r="H48" s="261"/>
      <c r="I48" s="264">
        <v>185051</v>
      </c>
      <c r="J48" s="263"/>
    </row>
    <row r="49" spans="2:12">
      <c r="B49" s="274" t="s">
        <v>1315</v>
      </c>
      <c r="C49" s="266"/>
      <c r="D49" s="261"/>
      <c r="E49" s="261"/>
      <c r="F49" s="261"/>
      <c r="G49" s="261"/>
      <c r="H49" s="261"/>
      <c r="I49" s="267"/>
      <c r="J49" s="263"/>
    </row>
    <row r="50" spans="2:12">
      <c r="B50" s="89" t="s">
        <v>1314</v>
      </c>
      <c r="C50" s="268" t="s">
        <v>1312</v>
      </c>
      <c r="D50" s="268" t="s">
        <v>1313</v>
      </c>
      <c r="E50" s="268" t="s">
        <v>425</v>
      </c>
      <c r="F50" s="261"/>
      <c r="G50" s="261"/>
      <c r="H50" s="261"/>
      <c r="I50" s="274" t="s">
        <v>1316</v>
      </c>
      <c r="J50" s="266"/>
      <c r="K50" s="261"/>
      <c r="L50" s="261"/>
    </row>
    <row r="51" spans="2:12">
      <c r="B51" s="89" t="s">
        <v>1245</v>
      </c>
      <c r="C51" s="85">
        <f>+E21-D51</f>
        <v>3850762</v>
      </c>
      <c r="D51" s="269">
        <f>+C22</f>
        <v>3300000</v>
      </c>
      <c r="E51" s="270">
        <f>+SUM(C51:D51)</f>
        <v>7150762</v>
      </c>
      <c r="F51" s="261"/>
      <c r="G51" s="261"/>
      <c r="H51" s="261"/>
      <c r="I51" s="89" t="s">
        <v>1314</v>
      </c>
      <c r="J51" s="268" t="s">
        <v>1312</v>
      </c>
      <c r="K51" s="268" t="s">
        <v>1313</v>
      </c>
      <c r="L51" s="268" t="s">
        <v>425</v>
      </c>
    </row>
    <row r="52" spans="2:12">
      <c r="B52" s="89" t="s">
        <v>1249</v>
      </c>
      <c r="C52" s="85">
        <v>0</v>
      </c>
      <c r="D52" s="269">
        <f>+E30</f>
        <v>253317</v>
      </c>
      <c r="E52" s="270">
        <f t="shared" ref="E52:E54" si="9">+SUM(C52:D52)</f>
        <v>253317</v>
      </c>
      <c r="F52" s="261"/>
      <c r="G52" s="261"/>
      <c r="H52" s="261"/>
      <c r="I52" s="89" t="s">
        <v>1247</v>
      </c>
      <c r="J52" s="85">
        <v>0</v>
      </c>
      <c r="K52" s="269">
        <f>+K20</f>
        <v>32212</v>
      </c>
      <c r="L52" s="270">
        <f>+SUM(J52:K52)</f>
        <v>32212</v>
      </c>
    </row>
    <row r="53" spans="2:12">
      <c r="B53" s="89" t="s">
        <v>1254</v>
      </c>
      <c r="C53" s="85"/>
      <c r="D53" s="269">
        <f>+E39</f>
        <v>695244</v>
      </c>
      <c r="E53" s="270">
        <f t="shared" si="9"/>
        <v>695244</v>
      </c>
      <c r="F53" s="261"/>
      <c r="G53" s="261"/>
      <c r="H53" s="261"/>
      <c r="I53" s="89" t="s">
        <v>1251</v>
      </c>
      <c r="J53" s="85">
        <v>0</v>
      </c>
      <c r="K53" s="269">
        <f>+K28</f>
        <v>0</v>
      </c>
      <c r="L53" s="270">
        <f t="shared" ref="L53:L54" si="10">+SUM(J53:K53)</f>
        <v>0</v>
      </c>
    </row>
    <row r="54" spans="2:12">
      <c r="B54" s="89" t="s">
        <v>1256</v>
      </c>
      <c r="C54" s="269">
        <f>+E45-D54</f>
        <v>3201686</v>
      </c>
      <c r="D54" s="271">
        <f>+C46</f>
        <v>2400000</v>
      </c>
      <c r="E54" s="270">
        <f t="shared" si="9"/>
        <v>5601686</v>
      </c>
      <c r="F54" s="261"/>
      <c r="G54" s="261"/>
      <c r="H54" s="261"/>
      <c r="I54" s="89" t="s">
        <v>1253</v>
      </c>
      <c r="J54" s="85"/>
      <c r="K54" s="269">
        <f>+K34</f>
        <v>98185</v>
      </c>
      <c r="L54" s="270">
        <f t="shared" si="10"/>
        <v>98185</v>
      </c>
    </row>
    <row r="55" spans="2:12">
      <c r="B55" s="272" t="s">
        <v>425</v>
      </c>
      <c r="C55" s="273">
        <f>+SUM(C51:C54)</f>
        <v>7052448</v>
      </c>
      <c r="D55" s="273">
        <f>+SUM(D51:D54)</f>
        <v>6648561</v>
      </c>
      <c r="E55" s="273">
        <f>+SUM(E51:E54)</f>
        <v>13701009</v>
      </c>
      <c r="F55" s="261"/>
      <c r="G55" s="261"/>
      <c r="H55" s="261"/>
      <c r="I55" s="272" t="s">
        <v>425</v>
      </c>
      <c r="J55" s="273">
        <f>+SUM(J52:J54)</f>
        <v>0</v>
      </c>
      <c r="K55" s="273">
        <f>+SUM(K52:K54)</f>
        <v>130397</v>
      </c>
      <c r="L55" s="273">
        <f>+SUM(L52:L54)</f>
        <v>130397</v>
      </c>
    </row>
    <row r="56" spans="2:12">
      <c r="B56" s="265"/>
      <c r="C56" s="266"/>
      <c r="D56" s="261"/>
      <c r="E56" s="261"/>
      <c r="F56" s="261"/>
      <c r="G56" s="261"/>
      <c r="H56" s="261"/>
      <c r="I56" s="262"/>
      <c r="J56" s="263"/>
    </row>
    <row r="57" spans="2:12">
      <c r="B57" s="265"/>
      <c r="C57" s="266"/>
      <c r="D57" s="261"/>
      <c r="E57" s="261"/>
      <c r="F57" s="261"/>
      <c r="G57" s="261"/>
      <c r="H57" s="261"/>
      <c r="I57" s="262"/>
      <c r="J57" s="263"/>
    </row>
    <row r="58" spans="2:12">
      <c r="B58" s="265"/>
      <c r="C58" s="266"/>
      <c r="D58" s="261"/>
      <c r="E58" s="261"/>
      <c r="F58" s="261"/>
      <c r="G58" s="261"/>
      <c r="H58" s="261"/>
      <c r="I58" s="262"/>
      <c r="J58" s="263"/>
    </row>
    <row r="59" spans="2:12">
      <c r="B59" s="265"/>
      <c r="C59" s="266"/>
      <c r="D59" s="261"/>
      <c r="E59" s="261"/>
      <c r="F59" s="261"/>
      <c r="G59" s="261"/>
      <c r="H59" s="261"/>
      <c r="I59" s="262"/>
      <c r="J59" s="263"/>
    </row>
    <row r="60" spans="2:12">
      <c r="B60" s="265"/>
      <c r="C60" s="266"/>
      <c r="D60" s="261"/>
      <c r="E60" s="261"/>
      <c r="F60" s="261"/>
      <c r="G60" s="261"/>
      <c r="H60" s="261"/>
      <c r="I60" s="262"/>
      <c r="J60" s="263"/>
    </row>
    <row r="61" spans="2:12">
      <c r="B61" s="265"/>
      <c r="C61" s="266"/>
      <c r="D61" s="261"/>
      <c r="E61" s="261"/>
      <c r="F61" s="261"/>
      <c r="G61" s="261"/>
      <c r="H61" s="261"/>
      <c r="I61" s="262"/>
      <c r="J61" s="263"/>
    </row>
    <row r="62" spans="2:12">
      <c r="B62" s="265"/>
      <c r="C62" s="266"/>
      <c r="D62" s="261"/>
      <c r="E62" s="261"/>
      <c r="F62" s="261"/>
      <c r="G62" s="261"/>
      <c r="H62" s="261"/>
      <c r="I62" s="262"/>
      <c r="J62" s="263"/>
    </row>
    <row r="63" spans="2:12">
      <c r="B63" s="265"/>
      <c r="C63" s="266"/>
      <c r="D63" s="261"/>
      <c r="E63" s="261"/>
      <c r="F63" s="261"/>
      <c r="G63" s="261"/>
      <c r="H63" s="261"/>
    </row>
  </sheetData>
  <customSheetViews>
    <customSheetView guid="{F039C147-8083-49A0-B541-A610A15BA793}" scale="77" topLeftCell="E1">
      <selection activeCell="K34" sqref="K34"/>
      <pageMargins left="0.7" right="0.7" top="0.75" bottom="0.75" header="0.3" footer="0.3"/>
      <pageSetup orientation="portrait" verticalDpi="0" r:id="rId1"/>
    </customSheetView>
    <customSheetView guid="{F140806D-66CA-4A66-855A-CCBDE7D69760}" scale="77" topLeftCell="E1">
      <selection activeCell="K34" sqref="K34"/>
      <pageMargins left="0.7" right="0.7" top="0.75" bottom="0.75" header="0.3" footer="0.3"/>
      <pageSetup orientation="portrait" verticalDpi="0" r:id="rId2"/>
    </customSheetView>
  </customSheetViews>
  <mergeCells count="4">
    <mergeCell ref="B2:D2"/>
    <mergeCell ref="H3:J3"/>
    <mergeCell ref="B15:D15"/>
    <mergeCell ref="H16:J16"/>
  </mergeCells>
  <pageMargins left="0.7" right="0.7" top="0.75" bottom="0.75" header="0.3" footer="0.3"/>
  <pageSetup orientation="portrait" verticalDpi="0"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6"/>
  <sheetViews>
    <sheetView topLeftCell="A258" workbookViewId="0">
      <selection activeCell="B269" sqref="B269:D269"/>
    </sheetView>
  </sheetViews>
  <sheetFormatPr defaultColWidth="9.140625" defaultRowHeight="15"/>
  <cols>
    <col min="1" max="1" width="67" style="19" bestFit="1" customWidth="1"/>
    <col min="2" max="2" width="7" style="19" bestFit="1" customWidth="1"/>
    <col min="3" max="3" width="35.85546875" style="19" bestFit="1" customWidth="1"/>
    <col min="4" max="4" width="70" style="19" bestFit="1" customWidth="1"/>
    <col min="5" max="5" width="19.5703125" style="19" bestFit="1" customWidth="1"/>
    <col min="6" max="6" width="9.85546875" style="19" bestFit="1" customWidth="1"/>
    <col min="7" max="7" width="18.7109375" style="19" bestFit="1" customWidth="1"/>
    <col min="8" max="8" width="22.140625" style="19" bestFit="1" customWidth="1"/>
    <col min="9" max="9" width="9.85546875" style="19" bestFit="1" customWidth="1"/>
    <col min="10" max="10" width="17.42578125" style="19" bestFit="1" customWidth="1"/>
    <col min="11" max="11" width="20.28515625" style="19" customWidth="1"/>
    <col min="12" max="12" width="15.28515625" style="19" customWidth="1"/>
    <col min="13" max="13" width="19.42578125" style="19" bestFit="1" customWidth="1"/>
    <col min="14" max="14" width="19.7109375" style="19" customWidth="1"/>
    <col min="15" max="15" width="15.28515625" style="19" customWidth="1"/>
    <col min="16" max="16" width="16.5703125" style="19" bestFit="1" customWidth="1"/>
    <col min="17" max="17" width="14.85546875" style="19" bestFit="1" customWidth="1"/>
    <col min="18" max="16384" width="9.140625" style="19"/>
  </cols>
  <sheetData>
    <row r="1" spans="1:17">
      <c r="E1" s="1581" t="s">
        <v>543</v>
      </c>
      <c r="F1" s="1581"/>
      <c r="G1" s="1581"/>
      <c r="H1" s="1581"/>
      <c r="I1" s="1581"/>
      <c r="J1" s="1581"/>
      <c r="K1" s="1581" t="s">
        <v>544</v>
      </c>
      <c r="L1" s="1581"/>
      <c r="M1" s="1581"/>
      <c r="N1" s="1581"/>
      <c r="O1" s="1581"/>
      <c r="P1" s="1581"/>
    </row>
    <row r="2" spans="1:17">
      <c r="A2" s="20"/>
      <c r="C2" s="20"/>
      <c r="K2" s="20"/>
      <c r="N2" s="20"/>
    </row>
    <row r="3" spans="1:17" s="21" customFormat="1">
      <c r="F3" s="22">
        <f>+SUM(F5:F541)</f>
        <v>-750</v>
      </c>
      <c r="I3" s="22">
        <f>+SUM(I5:I541)</f>
        <v>-750</v>
      </c>
      <c r="K3" s="22"/>
      <c r="L3" s="23">
        <f>+SUM(L5:L541)</f>
        <v>192300</v>
      </c>
      <c r="M3" s="22"/>
      <c r="N3" s="22"/>
      <c r="O3" s="23">
        <f>+SUM(O5:O541)</f>
        <v>192300</v>
      </c>
      <c r="P3" s="22"/>
    </row>
    <row r="4" spans="1:17">
      <c r="A4" s="24" t="s">
        <v>546</v>
      </c>
      <c r="B4" s="24" t="s">
        <v>547</v>
      </c>
      <c r="C4" s="24" t="s">
        <v>548</v>
      </c>
      <c r="D4" s="24" t="s">
        <v>549</v>
      </c>
      <c r="E4" s="24" t="s">
        <v>550</v>
      </c>
      <c r="F4" s="24" t="s">
        <v>551</v>
      </c>
      <c r="G4" s="24" t="s">
        <v>552</v>
      </c>
      <c r="H4" s="24" t="s">
        <v>553</v>
      </c>
      <c r="I4" s="24" t="s">
        <v>554</v>
      </c>
      <c r="J4" s="24" t="s">
        <v>555</v>
      </c>
      <c r="K4" s="24" t="s">
        <v>556</v>
      </c>
      <c r="L4" s="24" t="s">
        <v>551</v>
      </c>
      <c r="M4" s="24" t="s">
        <v>557</v>
      </c>
      <c r="N4" s="24" t="s">
        <v>558</v>
      </c>
      <c r="O4" s="24" t="s">
        <v>554</v>
      </c>
      <c r="P4" s="24" t="s">
        <v>559</v>
      </c>
      <c r="Q4" s="25" t="s">
        <v>425</v>
      </c>
    </row>
    <row r="5" spans="1:17" ht="15" customHeight="1">
      <c r="A5" s="42" t="s">
        <v>25</v>
      </c>
      <c r="B5" s="28">
        <v>7</v>
      </c>
      <c r="C5" s="28" t="s">
        <v>561</v>
      </c>
      <c r="D5" s="28" t="s">
        <v>561</v>
      </c>
      <c r="E5" s="28">
        <f>+IFERROR(VLOOKUP(A5,TB31032020!$A$11:$C$415,2,0),0)</f>
        <v>0</v>
      </c>
      <c r="F5" s="28">
        <v>0</v>
      </c>
      <c r="G5" s="28">
        <f t="shared" ref="G5" si="0">+E5+F5</f>
        <v>0</v>
      </c>
      <c r="H5" s="28">
        <f>+IFERROR(VLOOKUP(A5,TB31032020!$A$11:$C$415,3,0),0)</f>
        <v>135000</v>
      </c>
      <c r="I5" s="28">
        <v>0</v>
      </c>
      <c r="J5" s="28">
        <f t="shared" ref="J5" si="1">+H5+I5</f>
        <v>135000</v>
      </c>
      <c r="K5" s="28">
        <f>+IFERROR(VLOOKUP(A5,TB310320119!$A$11:$C$422,2,0),0)</f>
        <v>0</v>
      </c>
      <c r="L5" s="28">
        <v>0</v>
      </c>
      <c r="M5" s="28">
        <f t="shared" ref="M5:M72" si="2">K5+L5</f>
        <v>0</v>
      </c>
      <c r="N5" s="28">
        <f>+IFERROR(VLOOKUP(A5,TB310320119!$A$11:$C$421,3,0),0)</f>
        <v>86400</v>
      </c>
      <c r="O5" s="28">
        <v>0</v>
      </c>
      <c r="P5" s="28">
        <f t="shared" ref="P5:P38" si="3">N5+O5</f>
        <v>86400</v>
      </c>
      <c r="Q5" s="20">
        <f t="shared" ref="Q5:Q72" si="4">+SUM(E5:P5)</f>
        <v>442800</v>
      </c>
    </row>
    <row r="6" spans="1:17" ht="15" customHeight="1">
      <c r="A6" s="67" t="s">
        <v>19</v>
      </c>
      <c r="B6" s="28">
        <v>7</v>
      </c>
      <c r="C6" s="28" t="s">
        <v>561</v>
      </c>
      <c r="D6" s="28" t="s">
        <v>562</v>
      </c>
      <c r="E6" s="28">
        <f>+IFERROR(VLOOKUP(A6,TB31032020!$A$11:$C$415,2,0),0)</f>
        <v>0</v>
      </c>
      <c r="F6" s="28">
        <v>0</v>
      </c>
      <c r="G6" s="28">
        <f t="shared" ref="G6:G69" si="5">+E6+F6</f>
        <v>0</v>
      </c>
      <c r="H6" s="28">
        <f>+IFERROR(VLOOKUP(A6,TB31032020!$A$11:$C$415,3,0),0)</f>
        <v>892701</v>
      </c>
      <c r="I6" s="28">
        <v>0</v>
      </c>
      <c r="J6" s="28">
        <f t="shared" ref="J6:J69" si="6">+H6+I6</f>
        <v>892701</v>
      </c>
      <c r="K6" s="28">
        <f>+IFERROR(VLOOKUP(A6,TB310320119!$A$11:$C$422,2,0),0)</f>
        <v>0</v>
      </c>
      <c r="L6" s="28">
        <v>0</v>
      </c>
      <c r="M6" s="28">
        <f t="shared" si="2"/>
        <v>0</v>
      </c>
      <c r="N6" s="28">
        <f>+IFERROR(VLOOKUP(A6,TB310320119!$A$11:$C$421,3,0),0)</f>
        <v>0</v>
      </c>
      <c r="O6" s="28">
        <v>0</v>
      </c>
      <c r="P6" s="28">
        <f t="shared" si="3"/>
        <v>0</v>
      </c>
      <c r="Q6" s="20">
        <f t="shared" si="4"/>
        <v>1785402</v>
      </c>
    </row>
    <row r="7" spans="1:17" s="35" customFormat="1" ht="15" customHeight="1">
      <c r="A7" s="48" t="s">
        <v>20</v>
      </c>
      <c r="B7" s="28">
        <v>12</v>
      </c>
      <c r="C7" s="28" t="s">
        <v>566</v>
      </c>
      <c r="D7" s="28" t="s">
        <v>567</v>
      </c>
      <c r="E7" s="28">
        <f>+IFERROR(VLOOKUP(A7,TB31032020!$A$11:$C$415,2,0),0)</f>
        <v>0</v>
      </c>
      <c r="F7" s="28">
        <v>0</v>
      </c>
      <c r="G7" s="28">
        <f t="shared" si="5"/>
        <v>0</v>
      </c>
      <c r="H7" s="28">
        <f>+IFERROR(VLOOKUP(A7,TB31032020!$A$11:$C$415,3,0),0)</f>
        <v>0</v>
      </c>
      <c r="I7" s="28">
        <v>0</v>
      </c>
      <c r="J7" s="28">
        <f t="shared" si="6"/>
        <v>0</v>
      </c>
      <c r="K7" s="28">
        <f>+IFERROR(VLOOKUP(A7,TB310320119!$A$11:$C$422,2,0),0)</f>
        <v>12325000</v>
      </c>
      <c r="L7" s="28">
        <v>0</v>
      </c>
      <c r="M7" s="28">
        <f t="shared" si="2"/>
        <v>12325000</v>
      </c>
      <c r="N7" s="28">
        <f>+IFERROR(VLOOKUP(A7,TB310320119!$A$11:$C$421,3,0),0)</f>
        <v>0</v>
      </c>
      <c r="O7" s="28">
        <v>0</v>
      </c>
      <c r="P7" s="28">
        <f t="shared" si="3"/>
        <v>0</v>
      </c>
      <c r="Q7" s="20">
        <f t="shared" si="4"/>
        <v>24650000</v>
      </c>
    </row>
    <row r="8" spans="1:17" s="35" customFormat="1" ht="15" customHeight="1">
      <c r="A8" s="68" t="s">
        <v>21</v>
      </c>
      <c r="B8" s="28">
        <v>12</v>
      </c>
      <c r="C8" s="28" t="s">
        <v>566</v>
      </c>
      <c r="D8" s="28" t="s">
        <v>567</v>
      </c>
      <c r="E8" s="28">
        <f>+IFERROR(VLOOKUP(A8,TB31032020!$A$11:$C$415,2,0),0)</f>
        <v>3800000</v>
      </c>
      <c r="F8" s="28">
        <v>0</v>
      </c>
      <c r="G8" s="28">
        <f t="shared" si="5"/>
        <v>3800000</v>
      </c>
      <c r="H8" s="28">
        <f>+IFERROR(VLOOKUP(A8,TB31032020!$A$11:$C$415,3,0),0)</f>
        <v>0</v>
      </c>
      <c r="I8" s="28">
        <v>0</v>
      </c>
      <c r="J8" s="28">
        <f t="shared" si="6"/>
        <v>0</v>
      </c>
      <c r="K8" s="28">
        <f>+IFERROR(VLOOKUP(A8,TB310320119!$A$11:$C$422,2,0),0)</f>
        <v>0</v>
      </c>
      <c r="L8" s="28">
        <v>0</v>
      </c>
      <c r="M8" s="28">
        <f t="shared" si="2"/>
        <v>0</v>
      </c>
      <c r="N8" s="28">
        <f>+IFERROR(VLOOKUP(A8,TB310320119!$A$11:$C$421,3,0),0)</f>
        <v>0</v>
      </c>
      <c r="O8" s="28">
        <v>0</v>
      </c>
      <c r="P8" s="28">
        <f t="shared" si="3"/>
        <v>0</v>
      </c>
      <c r="Q8" s="20">
        <f t="shared" si="4"/>
        <v>7600000</v>
      </c>
    </row>
    <row r="9" spans="1:17" s="35" customFormat="1" ht="15" customHeight="1">
      <c r="A9" s="28" t="s">
        <v>22</v>
      </c>
      <c r="B9" s="28">
        <v>26</v>
      </c>
      <c r="C9" s="28" t="s">
        <v>568</v>
      </c>
      <c r="D9" s="28" t="s">
        <v>570</v>
      </c>
      <c r="E9" s="28">
        <f>+IFERROR(VLOOKUP(A9,TB31032020!$A$11:$C$415,2,0),0)</f>
        <v>113158</v>
      </c>
      <c r="F9" s="28">
        <v>0</v>
      </c>
      <c r="G9" s="28">
        <f t="shared" si="5"/>
        <v>113158</v>
      </c>
      <c r="H9" s="28">
        <f>+IFERROR(VLOOKUP(A9,TB31032020!$A$11:$C$415,3,0),0)</f>
        <v>0</v>
      </c>
      <c r="I9" s="28">
        <v>0</v>
      </c>
      <c r="J9" s="28">
        <f t="shared" si="6"/>
        <v>0</v>
      </c>
      <c r="K9" s="28">
        <f>+IFERROR(VLOOKUP(A9,TB310320119!$A$11:$C$422,2,0),0)</f>
        <v>77814</v>
      </c>
      <c r="L9" s="28">
        <v>0</v>
      </c>
      <c r="M9" s="28">
        <f t="shared" si="2"/>
        <v>77814</v>
      </c>
      <c r="N9" s="28">
        <f>+IFERROR(VLOOKUP(A9,TB310320119!$A$11:$C$421,3,0),0)</f>
        <v>0</v>
      </c>
      <c r="O9" s="28">
        <v>0</v>
      </c>
      <c r="P9" s="28">
        <f t="shared" si="3"/>
        <v>0</v>
      </c>
      <c r="Q9" s="20">
        <f t="shared" si="4"/>
        <v>381944</v>
      </c>
    </row>
    <row r="10" spans="1:17" s="35" customFormat="1" ht="15" customHeight="1">
      <c r="A10" s="51" t="s">
        <v>23</v>
      </c>
      <c r="B10" s="28">
        <v>15</v>
      </c>
      <c r="C10" s="28" t="s">
        <v>563</v>
      </c>
      <c r="D10" s="28" t="s">
        <v>564</v>
      </c>
      <c r="E10" s="28">
        <f>+IFERROR(VLOOKUP(A10,TB31032020!$A$11:$C$415,2,0),0)</f>
        <v>1426108</v>
      </c>
      <c r="F10" s="28">
        <v>0</v>
      </c>
      <c r="G10" s="28">
        <f t="shared" si="5"/>
        <v>1426108</v>
      </c>
      <c r="H10" s="28">
        <f>+IFERROR(VLOOKUP(A10,TB31032020!$A$11:$C$415,3,0),0)</f>
        <v>0</v>
      </c>
      <c r="I10" s="28">
        <v>0</v>
      </c>
      <c r="J10" s="28">
        <f t="shared" si="6"/>
        <v>0</v>
      </c>
      <c r="K10" s="28">
        <f>+IFERROR(VLOOKUP(A10,TB310320119!$A$11:$C$422,2,0),0)</f>
        <v>0</v>
      </c>
      <c r="L10" s="28">
        <v>0</v>
      </c>
      <c r="M10" s="28">
        <f t="shared" si="2"/>
        <v>0</v>
      </c>
      <c r="N10" s="28">
        <f>+IFERROR(VLOOKUP(A10,TB310320119!$A$11:$C$421,3,0),0)</f>
        <v>0</v>
      </c>
      <c r="O10" s="28">
        <v>0</v>
      </c>
      <c r="P10" s="28">
        <f t="shared" si="3"/>
        <v>0</v>
      </c>
      <c r="Q10" s="20">
        <f t="shared" si="4"/>
        <v>2852216</v>
      </c>
    </row>
    <row r="11" spans="1:17" s="35" customFormat="1" ht="15" customHeight="1">
      <c r="A11" s="67" t="s">
        <v>24</v>
      </c>
      <c r="B11" s="28">
        <v>7</v>
      </c>
      <c r="C11" s="28" t="s">
        <v>561</v>
      </c>
      <c r="D11" s="28" t="s">
        <v>562</v>
      </c>
      <c r="E11" s="28">
        <f>+IFERROR(VLOOKUP(A11,TB31032020!$A$11:$C$415,2,0),0)</f>
        <v>0</v>
      </c>
      <c r="F11" s="28">
        <v>0</v>
      </c>
      <c r="G11" s="28">
        <f t="shared" si="5"/>
        <v>0</v>
      </c>
      <c r="H11" s="28">
        <f>+IFERROR(VLOOKUP(A11,TB31032020!$A$11:$C$415,3,0),0)</f>
        <v>6800</v>
      </c>
      <c r="I11" s="28">
        <v>0</v>
      </c>
      <c r="J11" s="28">
        <f t="shared" si="6"/>
        <v>6800</v>
      </c>
      <c r="K11" s="28">
        <f>+IFERROR(VLOOKUP(A11,TB310320119!$A$11:$C$422,2,0),0)</f>
        <v>0</v>
      </c>
      <c r="L11" s="28">
        <v>0</v>
      </c>
      <c r="M11" s="28">
        <f t="shared" si="2"/>
        <v>0</v>
      </c>
      <c r="N11" s="28">
        <f>+IFERROR(VLOOKUP(A11,TB310320119!$A$11:$C$421,3,0),0)</f>
        <v>0</v>
      </c>
      <c r="O11" s="28">
        <v>0</v>
      </c>
      <c r="P11" s="28">
        <f t="shared" si="3"/>
        <v>0</v>
      </c>
      <c r="Q11" s="20">
        <f t="shared" si="4"/>
        <v>13600</v>
      </c>
    </row>
    <row r="12" spans="1:17" s="35" customFormat="1" ht="15" customHeight="1">
      <c r="A12" s="28" t="s">
        <v>571</v>
      </c>
      <c r="B12" s="28">
        <v>15</v>
      </c>
      <c r="C12" s="28" t="s">
        <v>563</v>
      </c>
      <c r="D12" s="28" t="s">
        <v>564</v>
      </c>
      <c r="E12" s="28">
        <f>+IFERROR(VLOOKUP(A12,TB31032020!$A$11:$C$415,2,0),0)</f>
        <v>1152502</v>
      </c>
      <c r="F12" s="28">
        <v>0</v>
      </c>
      <c r="G12" s="28">
        <f t="shared" si="5"/>
        <v>1152502</v>
      </c>
      <c r="H12" s="28">
        <f>+IFERROR(VLOOKUP(A12,TB31032020!$A$11:$C$415,3,0),0)</f>
        <v>0</v>
      </c>
      <c r="I12" s="28">
        <v>0</v>
      </c>
      <c r="J12" s="28">
        <f t="shared" si="6"/>
        <v>0</v>
      </c>
      <c r="K12" s="28">
        <f>+IFERROR(VLOOKUP(A12,TB310320119!$A$11:$C$422,2,0),0)</f>
        <v>2429585</v>
      </c>
      <c r="L12" s="28">
        <v>0</v>
      </c>
      <c r="M12" s="28">
        <f t="shared" si="2"/>
        <v>2429585</v>
      </c>
      <c r="N12" s="28">
        <f>+IFERROR(VLOOKUP(A12,TB310320119!$A$11:$C$421,3,0),0)</f>
        <v>0</v>
      </c>
      <c r="O12" s="28">
        <v>0</v>
      </c>
      <c r="P12" s="28">
        <f t="shared" si="3"/>
        <v>0</v>
      </c>
      <c r="Q12" s="20">
        <f t="shared" si="4"/>
        <v>7164174</v>
      </c>
    </row>
    <row r="13" spans="1:17" s="35" customFormat="1" ht="15" customHeight="1">
      <c r="A13" s="48" t="s">
        <v>27</v>
      </c>
      <c r="B13" s="28">
        <v>15</v>
      </c>
      <c r="C13" s="28" t="s">
        <v>563</v>
      </c>
      <c r="D13" s="28" t="s">
        <v>564</v>
      </c>
      <c r="E13" s="28">
        <f>+IFERROR(VLOOKUP(A13,TB31032020!$A$11:$C$415,2,0),0)</f>
        <v>3898375</v>
      </c>
      <c r="F13" s="28">
        <v>0</v>
      </c>
      <c r="G13" s="28">
        <f t="shared" si="5"/>
        <v>3898375</v>
      </c>
      <c r="H13" s="28">
        <f>+IFERROR(VLOOKUP(A13,TB31032020!$A$11:$C$415,3,0),0)</f>
        <v>0</v>
      </c>
      <c r="I13" s="28">
        <v>0</v>
      </c>
      <c r="J13" s="28">
        <f t="shared" si="6"/>
        <v>0</v>
      </c>
      <c r="K13" s="28">
        <f>+IFERROR(VLOOKUP(A13,TB310320119!$A$11:$C$422,2,0),0)</f>
        <v>2907317</v>
      </c>
      <c r="L13" s="28">
        <v>0</v>
      </c>
      <c r="M13" s="28">
        <f t="shared" si="2"/>
        <v>2907317</v>
      </c>
      <c r="N13" s="28">
        <f>+IFERROR(VLOOKUP(A13,TB310320119!$A$11:$C$421,3,0),0)</f>
        <v>0</v>
      </c>
      <c r="O13" s="28">
        <v>0</v>
      </c>
      <c r="P13" s="28">
        <f t="shared" si="3"/>
        <v>0</v>
      </c>
      <c r="Q13" s="20">
        <f t="shared" si="4"/>
        <v>13611384</v>
      </c>
    </row>
    <row r="14" spans="1:17" s="35" customFormat="1" ht="15" customHeight="1">
      <c r="A14" s="28" t="s">
        <v>426</v>
      </c>
      <c r="B14" s="28">
        <v>17</v>
      </c>
      <c r="C14" s="28" t="s">
        <v>572</v>
      </c>
      <c r="D14" s="28" t="s">
        <v>573</v>
      </c>
      <c r="E14" s="28">
        <f>+IFERROR(VLOOKUP(A14,TB31032020!$A$11:$C$415,2,0),0)</f>
        <v>0</v>
      </c>
      <c r="F14" s="28">
        <v>0</v>
      </c>
      <c r="G14" s="28">
        <f t="shared" si="5"/>
        <v>0</v>
      </c>
      <c r="H14" s="28">
        <f>+IFERROR(VLOOKUP(A14,TB31032020!$A$11:$C$415,3,0),0)</f>
        <v>0</v>
      </c>
      <c r="I14" s="28">
        <v>0</v>
      </c>
      <c r="J14" s="28">
        <f t="shared" si="6"/>
        <v>0</v>
      </c>
      <c r="K14" s="28">
        <f>+IFERROR(VLOOKUP(A14,TB310320119!$A$11:$C$422,2,0),0)</f>
        <v>278760</v>
      </c>
      <c r="L14" s="28">
        <v>0</v>
      </c>
      <c r="M14" s="28">
        <f t="shared" si="2"/>
        <v>278760</v>
      </c>
      <c r="N14" s="28">
        <f>+IFERROR(VLOOKUP(A14,TB310320119!$A$11:$C$421,3,0),0)</f>
        <v>0</v>
      </c>
      <c r="O14" s="28">
        <v>0</v>
      </c>
      <c r="P14" s="28">
        <f t="shared" si="3"/>
        <v>0</v>
      </c>
      <c r="Q14" s="20">
        <f t="shared" si="4"/>
        <v>557520</v>
      </c>
    </row>
    <row r="15" spans="1:17" s="35" customFormat="1" ht="15" customHeight="1">
      <c r="A15" s="28" t="s">
        <v>28</v>
      </c>
      <c r="B15" s="28">
        <v>7</v>
      </c>
      <c r="C15" s="28" t="s">
        <v>561</v>
      </c>
      <c r="D15" s="28" t="s">
        <v>561</v>
      </c>
      <c r="E15" s="28">
        <f>+IFERROR(VLOOKUP(A15,TB31032020!$A$11:$C$415,2,0),0)</f>
        <v>0</v>
      </c>
      <c r="F15" s="28">
        <v>0</v>
      </c>
      <c r="G15" s="28">
        <f t="shared" si="5"/>
        <v>0</v>
      </c>
      <c r="H15" s="28">
        <f>+IFERROR(VLOOKUP(A15,TB31032020!$A$11:$C$415,3,0),0)</f>
        <v>54318</v>
      </c>
      <c r="I15" s="28">
        <v>0</v>
      </c>
      <c r="J15" s="28">
        <f t="shared" si="6"/>
        <v>54318</v>
      </c>
      <c r="K15" s="28">
        <f>+IFERROR(VLOOKUP(A15,TB310320119!$A$11:$C$422,2,0),0)</f>
        <v>0</v>
      </c>
      <c r="L15" s="28">
        <v>0</v>
      </c>
      <c r="M15" s="28">
        <f t="shared" si="2"/>
        <v>0</v>
      </c>
      <c r="N15" s="28">
        <f>+IFERROR(VLOOKUP(A15,TB310320119!$A$11:$C$421,3,0),0)</f>
        <v>28955</v>
      </c>
      <c r="O15" s="28">
        <v>0</v>
      </c>
      <c r="P15" s="28">
        <f t="shared" si="3"/>
        <v>28955</v>
      </c>
      <c r="Q15" s="20">
        <f t="shared" si="4"/>
        <v>166546</v>
      </c>
    </row>
    <row r="16" spans="1:17" s="35" customFormat="1" ht="15" customHeight="1">
      <c r="A16" s="49" t="s">
        <v>29</v>
      </c>
      <c r="B16" s="28">
        <v>12</v>
      </c>
      <c r="C16" s="28" t="s">
        <v>566</v>
      </c>
      <c r="D16" s="28" t="s">
        <v>634</v>
      </c>
      <c r="E16" s="28">
        <f>+IFERROR(VLOOKUP(A16,TB31032020!$A$11:$C$415,2,0),0)</f>
        <v>4000</v>
      </c>
      <c r="F16" s="28">
        <v>0</v>
      </c>
      <c r="G16" s="28">
        <f t="shared" si="5"/>
        <v>4000</v>
      </c>
      <c r="H16" s="28">
        <f>+IFERROR(VLOOKUP(A16,TB31032020!$A$11:$C$415,3,0),0)</f>
        <v>0</v>
      </c>
      <c r="I16" s="28">
        <v>0</v>
      </c>
      <c r="J16" s="28">
        <f t="shared" si="6"/>
        <v>0</v>
      </c>
      <c r="K16" s="28">
        <f>+IFERROR(VLOOKUP(A16,TB310320119!$A$11:$C$422,2,0),0)</f>
        <v>0</v>
      </c>
      <c r="L16" s="28">
        <v>0</v>
      </c>
      <c r="M16" s="28">
        <f t="shared" si="2"/>
        <v>0</v>
      </c>
      <c r="N16" s="28">
        <f>+IFERROR(VLOOKUP(A16,TB310320119!$A$11:$C$421,3,0),0)</f>
        <v>0</v>
      </c>
      <c r="O16" s="28">
        <v>0</v>
      </c>
      <c r="P16" s="28">
        <f t="shared" si="3"/>
        <v>0</v>
      </c>
      <c r="Q16" s="20">
        <f t="shared" si="4"/>
        <v>8000</v>
      </c>
    </row>
    <row r="17" spans="1:17" s="35" customFormat="1" ht="15" customHeight="1">
      <c r="A17" s="37" t="s">
        <v>574</v>
      </c>
      <c r="B17" s="28">
        <v>7</v>
      </c>
      <c r="C17" s="28" t="s">
        <v>561</v>
      </c>
      <c r="D17" s="28" t="s">
        <v>561</v>
      </c>
      <c r="E17" s="28">
        <f>+IFERROR(VLOOKUP(A17,TB31032020!$A$11:$C$415,2,0),0)</f>
        <v>0</v>
      </c>
      <c r="F17" s="28">
        <v>0</v>
      </c>
      <c r="G17" s="28">
        <f t="shared" si="5"/>
        <v>0</v>
      </c>
      <c r="H17" s="28">
        <f>+IFERROR(VLOOKUP(A17,TB31032020!$A$11:$C$415,3,0),0)</f>
        <v>136776</v>
      </c>
      <c r="I17" s="28">
        <v>0</v>
      </c>
      <c r="J17" s="28">
        <f t="shared" si="6"/>
        <v>136776</v>
      </c>
      <c r="K17" s="28">
        <f>+IFERROR(VLOOKUP(A17,TB310320119!$A$11:$C$422,2,0),0)</f>
        <v>0</v>
      </c>
      <c r="L17" s="28">
        <v>0</v>
      </c>
      <c r="M17" s="28">
        <f t="shared" si="2"/>
        <v>0</v>
      </c>
      <c r="N17" s="28">
        <f>+IFERROR(VLOOKUP(A17,TB310320119!$A$11:$C$421,3,0),0)</f>
        <v>68388</v>
      </c>
      <c r="O17" s="28">
        <v>0</v>
      </c>
      <c r="P17" s="28">
        <f t="shared" si="3"/>
        <v>68388</v>
      </c>
      <c r="Q17" s="20">
        <f t="shared" si="4"/>
        <v>410328</v>
      </c>
    </row>
    <row r="18" spans="1:17" s="35" customFormat="1" ht="15" customHeight="1">
      <c r="A18" s="48" t="s">
        <v>31</v>
      </c>
      <c r="B18" s="28">
        <v>7</v>
      </c>
      <c r="C18" s="28" t="s">
        <v>561</v>
      </c>
      <c r="D18" s="28" t="s">
        <v>562</v>
      </c>
      <c r="E18" s="28">
        <f>+IFERROR(VLOOKUP(A18,TB31032020!$A$11:$C$415,2,0),0)</f>
        <v>0</v>
      </c>
      <c r="F18" s="28">
        <v>0</v>
      </c>
      <c r="G18" s="28">
        <f t="shared" si="5"/>
        <v>0</v>
      </c>
      <c r="H18" s="28">
        <f>+IFERROR(VLOOKUP(A18,TB31032020!$A$11:$C$415,3,0),0)</f>
        <v>222332</v>
      </c>
      <c r="I18" s="28">
        <v>0</v>
      </c>
      <c r="J18" s="28">
        <f t="shared" si="6"/>
        <v>222332</v>
      </c>
      <c r="K18" s="28">
        <f>+IFERROR(VLOOKUP(A18,TB310320119!$A$11:$C$422,2,0),0)</f>
        <v>0</v>
      </c>
      <c r="L18" s="28">
        <v>0</v>
      </c>
      <c r="M18" s="28">
        <f t="shared" si="2"/>
        <v>0</v>
      </c>
      <c r="N18" s="28">
        <f>+IFERROR(VLOOKUP(A18,TB310320119!$A$11:$C$421,3,0),0)</f>
        <v>0</v>
      </c>
      <c r="O18" s="28">
        <v>0</v>
      </c>
      <c r="P18" s="28">
        <f t="shared" si="3"/>
        <v>0</v>
      </c>
      <c r="Q18" s="20">
        <f t="shared" si="4"/>
        <v>444664</v>
      </c>
    </row>
    <row r="19" spans="1:17" s="35" customFormat="1" ht="15" customHeight="1">
      <c r="A19" s="48" t="s">
        <v>1857</v>
      </c>
      <c r="B19" s="28">
        <v>7</v>
      </c>
      <c r="C19" s="28" t="s">
        <v>561</v>
      </c>
      <c r="D19" s="28" t="s">
        <v>562</v>
      </c>
      <c r="E19" s="28">
        <f>+IFERROR(VLOOKUP(A19,TB31032020!$A$11:$C$415,2,0),0)</f>
        <v>2384</v>
      </c>
      <c r="F19" s="28">
        <v>0</v>
      </c>
      <c r="G19" s="28">
        <f t="shared" si="5"/>
        <v>2384</v>
      </c>
      <c r="H19" s="28">
        <f>+IFERROR(VLOOKUP(A19,TB31032020!$A$11:$C$415,3,0),0)</f>
        <v>0</v>
      </c>
      <c r="I19" s="28">
        <v>0</v>
      </c>
      <c r="J19" s="28">
        <f t="shared" si="6"/>
        <v>0</v>
      </c>
      <c r="K19" s="28">
        <f>+IFERROR(VLOOKUP(A19,TB310320119!$A$11:$C$422,2,0),0)</f>
        <v>0</v>
      </c>
      <c r="L19" s="28">
        <v>0</v>
      </c>
      <c r="M19" s="28">
        <f t="shared" ref="M19" si="7">K19+L19</f>
        <v>0</v>
      </c>
      <c r="N19" s="28">
        <f>+IFERROR(VLOOKUP(A19,TB310320119!$A$11:$C$421,3,0),0)</f>
        <v>0</v>
      </c>
      <c r="O19" s="28">
        <v>0</v>
      </c>
      <c r="P19" s="28">
        <f t="shared" ref="P19" si="8">N19+O19</f>
        <v>0</v>
      </c>
      <c r="Q19" s="20">
        <f t="shared" ref="Q19" si="9">+SUM(E19:P19)</f>
        <v>4768</v>
      </c>
    </row>
    <row r="20" spans="1:17" s="35" customFormat="1" ht="15" customHeight="1">
      <c r="A20" s="48" t="s">
        <v>1794</v>
      </c>
      <c r="B20" s="28">
        <v>7</v>
      </c>
      <c r="C20" s="28" t="s">
        <v>561</v>
      </c>
      <c r="D20" s="28" t="s">
        <v>562</v>
      </c>
      <c r="E20" s="28">
        <f>+IFERROR(VLOOKUP(A20,TB31032020!$A$11:$C$415,2,0),0)</f>
        <v>0</v>
      </c>
      <c r="F20" s="28">
        <v>0</v>
      </c>
      <c r="G20" s="28">
        <f t="shared" si="5"/>
        <v>0</v>
      </c>
      <c r="H20" s="28">
        <f>+IFERROR(VLOOKUP(A20,TB31032020!$A$11:$C$415,3,0),0)</f>
        <v>16500</v>
      </c>
      <c r="I20" s="28">
        <v>0</v>
      </c>
      <c r="J20" s="28">
        <f t="shared" si="6"/>
        <v>16500</v>
      </c>
      <c r="K20" s="28">
        <f>+IFERROR(VLOOKUP(A20,TB310320119!$A$11:$C$422,2,0),0)</f>
        <v>0</v>
      </c>
      <c r="L20" s="28">
        <v>0</v>
      </c>
      <c r="M20" s="28">
        <f>K20+L20</f>
        <v>0</v>
      </c>
      <c r="N20" s="28">
        <f>+IFERROR(VLOOKUP(A20,TB310320119!$A$11:$C$421,3,0),0)</f>
        <v>0</v>
      </c>
      <c r="O20" s="28">
        <v>0</v>
      </c>
      <c r="P20" s="28">
        <f>N20+O20</f>
        <v>0</v>
      </c>
      <c r="Q20" s="20">
        <f>+SUM(E20:P20)</f>
        <v>33000</v>
      </c>
    </row>
    <row r="21" spans="1:17" s="35" customFormat="1" ht="15" customHeight="1">
      <c r="A21" s="28" t="s">
        <v>575</v>
      </c>
      <c r="B21" s="28">
        <v>4</v>
      </c>
      <c r="C21" s="28" t="s">
        <v>576</v>
      </c>
      <c r="D21" s="28" t="s">
        <v>577</v>
      </c>
      <c r="E21" s="28">
        <f>+IFERROR(VLOOKUP(A21,TB31032020!$A$11:$C$415,2,0),0)</f>
        <v>0</v>
      </c>
      <c r="F21" s="28">
        <v>0</v>
      </c>
      <c r="G21" s="28">
        <f t="shared" si="5"/>
        <v>0</v>
      </c>
      <c r="H21" s="28">
        <f>+IFERROR(VLOOKUP(A21,TB31032020!$A$11:$C$415,3,0),0)</f>
        <v>2186694</v>
      </c>
      <c r="I21" s="28">
        <v>0</v>
      </c>
      <c r="J21" s="28">
        <f t="shared" si="6"/>
        <v>2186694</v>
      </c>
      <c r="K21" s="28">
        <f>+IFERROR(VLOOKUP(A21,TB310320119!$A$11:$C$422,2,0),0)</f>
        <v>0</v>
      </c>
      <c r="L21" s="28">
        <v>0</v>
      </c>
      <c r="M21" s="28">
        <f t="shared" si="2"/>
        <v>0</v>
      </c>
      <c r="N21" s="28">
        <f>+IFERROR(VLOOKUP(A21,TB310320119!$A$11:$C$421,3,0),0)</f>
        <v>2000000</v>
      </c>
      <c r="O21" s="28">
        <v>0</v>
      </c>
      <c r="P21" s="28">
        <f t="shared" si="3"/>
        <v>2000000</v>
      </c>
      <c r="Q21" s="20">
        <f t="shared" si="4"/>
        <v>8373388</v>
      </c>
    </row>
    <row r="22" spans="1:17" s="35" customFormat="1" ht="15" customHeight="1">
      <c r="A22" s="48" t="s">
        <v>427</v>
      </c>
      <c r="B22" s="28">
        <v>7</v>
      </c>
      <c r="C22" s="28" t="s">
        <v>561</v>
      </c>
      <c r="D22" s="28" t="s">
        <v>562</v>
      </c>
      <c r="E22" s="28">
        <f>+IFERROR(VLOOKUP(A22,TB31032020!$A$11:$C$415,2,0),0)</f>
        <v>0</v>
      </c>
      <c r="F22" s="28">
        <v>0</v>
      </c>
      <c r="G22" s="28">
        <f t="shared" si="5"/>
        <v>0</v>
      </c>
      <c r="H22" s="28">
        <f>+IFERROR(VLOOKUP(A22,TB31032020!$A$11:$C$415,3,0),0)</f>
        <v>0</v>
      </c>
      <c r="I22" s="28">
        <v>0</v>
      </c>
      <c r="J22" s="28">
        <f t="shared" si="6"/>
        <v>0</v>
      </c>
      <c r="K22" s="28">
        <f>+IFERROR(VLOOKUP(A22,TB310320119!$A$11:$C$422,2,0),0)</f>
        <v>0</v>
      </c>
      <c r="L22" s="28">
        <v>0</v>
      </c>
      <c r="M22" s="28">
        <f t="shared" si="2"/>
        <v>0</v>
      </c>
      <c r="N22" s="28">
        <f>+IFERROR(VLOOKUP(A22,TB310320119!$A$11:$C$421,3,0),0)</f>
        <v>2291</v>
      </c>
      <c r="O22" s="28">
        <v>0</v>
      </c>
      <c r="P22" s="28">
        <f t="shared" si="3"/>
        <v>2291</v>
      </c>
      <c r="Q22" s="20">
        <f t="shared" si="4"/>
        <v>4582</v>
      </c>
    </row>
    <row r="23" spans="1:17" s="35" customFormat="1" ht="15" customHeight="1">
      <c r="A23" s="28" t="s">
        <v>33</v>
      </c>
      <c r="B23" s="28">
        <v>4</v>
      </c>
      <c r="C23" s="28" t="s">
        <v>576</v>
      </c>
      <c r="D23" s="28" t="s">
        <v>577</v>
      </c>
      <c r="E23" s="28">
        <f>+IFERROR(VLOOKUP(A23,TB31032020!$A$11:$C$415,2,0),0)</f>
        <v>0</v>
      </c>
      <c r="F23" s="28">
        <v>0</v>
      </c>
      <c r="G23" s="28">
        <f t="shared" si="5"/>
        <v>0</v>
      </c>
      <c r="H23" s="28">
        <f>+IFERROR(VLOOKUP(A23,TB31032020!$A$11:$C$415,3,0),0)</f>
        <v>874676</v>
      </c>
      <c r="I23" s="28">
        <v>0</v>
      </c>
      <c r="J23" s="28">
        <f t="shared" si="6"/>
        <v>874676</v>
      </c>
      <c r="K23" s="28">
        <f>+IFERROR(VLOOKUP(A23,TB310320119!$A$11:$C$422,2,0),0)</f>
        <v>0</v>
      </c>
      <c r="L23" s="28">
        <v>0</v>
      </c>
      <c r="M23" s="28">
        <f t="shared" si="2"/>
        <v>0</v>
      </c>
      <c r="N23" s="28">
        <f>+IFERROR(VLOOKUP(A23,TB310320119!$A$11:$C$421,3,0),0)</f>
        <v>800000</v>
      </c>
      <c r="O23" s="28">
        <v>0</v>
      </c>
      <c r="P23" s="28">
        <f t="shared" si="3"/>
        <v>800000</v>
      </c>
      <c r="Q23" s="20">
        <f t="shared" si="4"/>
        <v>3349352</v>
      </c>
    </row>
    <row r="24" spans="1:17" s="35" customFormat="1" ht="15" customHeight="1">
      <c r="A24" s="28" t="s">
        <v>34</v>
      </c>
      <c r="B24" s="28">
        <v>7</v>
      </c>
      <c r="C24" s="28" t="s">
        <v>561</v>
      </c>
      <c r="D24" s="28" t="s">
        <v>561</v>
      </c>
      <c r="E24" s="28">
        <f>+IFERROR(VLOOKUP(A24,TB31032020!$A$11:$C$415,2,0),0)</f>
        <v>0</v>
      </c>
      <c r="F24" s="28">
        <v>0</v>
      </c>
      <c r="G24" s="28">
        <f t="shared" si="5"/>
        <v>0</v>
      </c>
      <c r="H24" s="28">
        <f>+IFERROR(VLOOKUP(A24,TB31032020!$A$11:$C$415,3,0),0)</f>
        <v>30012</v>
      </c>
      <c r="I24" s="28">
        <v>0</v>
      </c>
      <c r="J24" s="28">
        <f t="shared" si="6"/>
        <v>30012</v>
      </c>
      <c r="K24" s="28">
        <f>+IFERROR(VLOOKUP(A24,TB310320119!$A$11:$C$422,2,0),0)</f>
        <v>0</v>
      </c>
      <c r="L24" s="28">
        <v>0</v>
      </c>
      <c r="M24" s="28">
        <f t="shared" si="2"/>
        <v>0</v>
      </c>
      <c r="N24" s="28">
        <f>+IFERROR(VLOOKUP(A24,TB310320119!$A$11:$C$421,3,0),0)</f>
        <v>0</v>
      </c>
      <c r="O24" s="28">
        <v>0</v>
      </c>
      <c r="P24" s="28">
        <f t="shared" si="3"/>
        <v>0</v>
      </c>
      <c r="Q24" s="20">
        <f t="shared" si="4"/>
        <v>60024</v>
      </c>
    </row>
    <row r="25" spans="1:17" s="35" customFormat="1" ht="15" customHeight="1">
      <c r="A25" s="28" t="s">
        <v>35</v>
      </c>
      <c r="B25" s="28">
        <v>26</v>
      </c>
      <c r="C25" s="28" t="s">
        <v>568</v>
      </c>
      <c r="D25" s="28" t="s">
        <v>578</v>
      </c>
      <c r="E25" s="28">
        <f>+IFERROR(VLOOKUP(A25,TB31032020!$A$11:$C$415,2,0),0)</f>
        <v>9000</v>
      </c>
      <c r="F25" s="28">
        <v>0</v>
      </c>
      <c r="G25" s="28">
        <f t="shared" si="5"/>
        <v>9000</v>
      </c>
      <c r="H25" s="28">
        <f>+IFERROR(VLOOKUP(A25,TB31032020!$A$11:$C$415,3,0),0)</f>
        <v>0</v>
      </c>
      <c r="I25" s="28">
        <v>0</v>
      </c>
      <c r="J25" s="28">
        <f t="shared" si="6"/>
        <v>0</v>
      </c>
      <c r="K25" s="28">
        <f>+IFERROR(VLOOKUP(A25,TB310320119!$A$11:$C$422,2,0),0)</f>
        <v>9000</v>
      </c>
      <c r="L25" s="28">
        <v>0</v>
      </c>
      <c r="M25" s="28">
        <f t="shared" si="2"/>
        <v>9000</v>
      </c>
      <c r="N25" s="28">
        <f>+IFERROR(VLOOKUP(A25,TB310320119!$A$11:$C$421,3,0),0)</f>
        <v>0</v>
      </c>
      <c r="O25" s="28">
        <v>0</v>
      </c>
      <c r="P25" s="28">
        <f t="shared" si="3"/>
        <v>0</v>
      </c>
      <c r="Q25" s="20">
        <f t="shared" si="4"/>
        <v>36000</v>
      </c>
    </row>
    <row r="26" spans="1:17" s="35" customFormat="1" ht="15" customHeight="1">
      <c r="A26" s="28" t="s">
        <v>36</v>
      </c>
      <c r="B26" s="28">
        <v>26</v>
      </c>
      <c r="C26" s="28" t="s">
        <v>568</v>
      </c>
      <c r="D26" s="28" t="s">
        <v>584</v>
      </c>
      <c r="E26" s="28">
        <f>+IFERROR(VLOOKUP(A26,TB31032020!$A$11:$C$415,2,0),0)</f>
        <v>64000</v>
      </c>
      <c r="F26" s="28">
        <v>0</v>
      </c>
      <c r="G26" s="28">
        <f t="shared" si="5"/>
        <v>64000</v>
      </c>
      <c r="H26" s="28">
        <f>+IFERROR(VLOOKUP(A26,TB31032020!$A$11:$C$415,3,0),0)</f>
        <v>0</v>
      </c>
      <c r="I26" s="28">
        <v>0</v>
      </c>
      <c r="J26" s="28">
        <f t="shared" si="6"/>
        <v>0</v>
      </c>
      <c r="K26" s="28">
        <f>+IFERROR(VLOOKUP(A26,TB310320119!$A$11:$C$422,2,0),0)</f>
        <v>64000</v>
      </c>
      <c r="L26" s="28">
        <v>0</v>
      </c>
      <c r="M26" s="28">
        <f t="shared" si="2"/>
        <v>64000</v>
      </c>
      <c r="N26" s="28">
        <f>+IFERROR(VLOOKUP(A26,TB310320119!$A$11:$C$421,3,0),0)</f>
        <v>0</v>
      </c>
      <c r="O26" s="28">
        <v>0</v>
      </c>
      <c r="P26" s="28">
        <f t="shared" si="3"/>
        <v>0</v>
      </c>
      <c r="Q26" s="20">
        <f t="shared" si="4"/>
        <v>256000</v>
      </c>
    </row>
    <row r="27" spans="1:17" s="35" customFormat="1" ht="15" customHeight="1">
      <c r="A27" s="41" t="s">
        <v>428</v>
      </c>
      <c r="B27" s="28">
        <v>8</v>
      </c>
      <c r="C27" s="28" t="s">
        <v>585</v>
      </c>
      <c r="D27" s="28" t="s">
        <v>586</v>
      </c>
      <c r="E27" s="28">
        <f>+IFERROR(VLOOKUP(A27,TB31032020!$A$11:$C$415,2,0),0)</f>
        <v>0</v>
      </c>
      <c r="F27" s="28">
        <v>0</v>
      </c>
      <c r="G27" s="28">
        <f t="shared" si="5"/>
        <v>0</v>
      </c>
      <c r="H27" s="28">
        <f>+IFERROR(VLOOKUP(A27,TB31032020!$A$11:$C$415,3,0),0)</f>
        <v>0</v>
      </c>
      <c r="I27" s="28">
        <v>0</v>
      </c>
      <c r="J27" s="28">
        <f t="shared" si="6"/>
        <v>0</v>
      </c>
      <c r="K27" s="28">
        <f>+IFERROR(VLOOKUP(A27,TB310320119!$A$11:$C$422,2,0),0)</f>
        <v>0</v>
      </c>
      <c r="L27" s="28">
        <v>0</v>
      </c>
      <c r="M27" s="28">
        <f t="shared" si="2"/>
        <v>0</v>
      </c>
      <c r="N27" s="28">
        <f>+IFERROR(VLOOKUP(A27,TB310320119!$A$11:$C$421,3,0),0)</f>
        <v>193064</v>
      </c>
      <c r="O27" s="28">
        <v>0</v>
      </c>
      <c r="P27" s="28">
        <f t="shared" si="3"/>
        <v>193064</v>
      </c>
      <c r="Q27" s="20">
        <f t="shared" si="4"/>
        <v>386128</v>
      </c>
    </row>
    <row r="28" spans="1:17" s="35" customFormat="1" ht="15" customHeight="1">
      <c r="A28" s="48" t="s">
        <v>429</v>
      </c>
      <c r="B28" s="28">
        <v>15</v>
      </c>
      <c r="C28" s="28" t="s">
        <v>563</v>
      </c>
      <c r="D28" s="28" t="s">
        <v>564</v>
      </c>
      <c r="E28" s="28">
        <f>+IFERROR(VLOOKUP(A28,TB31032020!$A$11:$C$415,2,0),0)</f>
        <v>0</v>
      </c>
      <c r="F28" s="28">
        <v>0</v>
      </c>
      <c r="G28" s="28">
        <f t="shared" si="5"/>
        <v>0</v>
      </c>
      <c r="H28" s="28">
        <f>+IFERROR(VLOOKUP(A28,TB31032020!$A$11:$C$415,3,0),0)</f>
        <v>0</v>
      </c>
      <c r="I28" s="28">
        <v>0</v>
      </c>
      <c r="J28" s="28">
        <f t="shared" si="6"/>
        <v>0</v>
      </c>
      <c r="K28" s="28">
        <f>+IFERROR(VLOOKUP(A28,TB310320119!$A$11:$C$422,2,0),0)</f>
        <v>283582</v>
      </c>
      <c r="L28" s="28">
        <v>0</v>
      </c>
      <c r="M28" s="28">
        <f t="shared" si="2"/>
        <v>283582</v>
      </c>
      <c r="N28" s="28">
        <f>+IFERROR(VLOOKUP(A28,TB310320119!$A$11:$C$421,3,0),0)</f>
        <v>0</v>
      </c>
      <c r="O28" s="28">
        <v>0</v>
      </c>
      <c r="P28" s="28">
        <f t="shared" si="3"/>
        <v>0</v>
      </c>
      <c r="Q28" s="20">
        <f t="shared" si="4"/>
        <v>567164</v>
      </c>
    </row>
    <row r="29" spans="1:17" s="35" customFormat="1" ht="15" customHeight="1">
      <c r="A29" s="28" t="s">
        <v>430</v>
      </c>
      <c r="B29" s="28">
        <v>15</v>
      </c>
      <c r="C29" s="28" t="s">
        <v>563</v>
      </c>
      <c r="D29" s="28" t="s">
        <v>564</v>
      </c>
      <c r="E29" s="28">
        <f>+IFERROR(VLOOKUP(A29,TB31032020!$A$11:$C$415,2,0),0)</f>
        <v>0</v>
      </c>
      <c r="F29" s="28">
        <v>0</v>
      </c>
      <c r="G29" s="28">
        <f t="shared" si="5"/>
        <v>0</v>
      </c>
      <c r="H29" s="28">
        <f>+IFERROR(VLOOKUP(A29,TB31032020!$A$11:$C$415,3,0),0)</f>
        <v>0</v>
      </c>
      <c r="I29" s="28">
        <v>0</v>
      </c>
      <c r="J29" s="28">
        <f t="shared" si="6"/>
        <v>0</v>
      </c>
      <c r="K29" s="28">
        <f>+IFERROR(VLOOKUP(A29,TB310320119!$A$11:$C$422,2,0),0)</f>
        <v>245459</v>
      </c>
      <c r="L29" s="28">
        <v>0</v>
      </c>
      <c r="M29" s="28">
        <f t="shared" si="2"/>
        <v>245459</v>
      </c>
      <c r="N29" s="28">
        <f>+IFERROR(VLOOKUP(A29,TB310320119!$A$11:$C$421,3,0),0)</f>
        <v>0</v>
      </c>
      <c r="O29" s="28">
        <v>0</v>
      </c>
      <c r="P29" s="28">
        <f t="shared" si="3"/>
        <v>0</v>
      </c>
      <c r="Q29" s="20">
        <f t="shared" si="4"/>
        <v>490918</v>
      </c>
    </row>
    <row r="30" spans="1:17" s="35" customFormat="1" ht="15" customHeight="1">
      <c r="A30" s="28" t="s">
        <v>431</v>
      </c>
      <c r="B30" s="28">
        <v>7</v>
      </c>
      <c r="C30" s="28" t="s">
        <v>561</v>
      </c>
      <c r="D30" s="28" t="s">
        <v>561</v>
      </c>
      <c r="E30" s="28">
        <f>+IFERROR(VLOOKUP(A30,TB31032020!$A$11:$C$415,2,0),0)</f>
        <v>0</v>
      </c>
      <c r="F30" s="28">
        <v>0</v>
      </c>
      <c r="G30" s="28">
        <f t="shared" si="5"/>
        <v>0</v>
      </c>
      <c r="H30" s="28">
        <f>+IFERROR(VLOOKUP(A30,TB31032020!$A$11:$C$415,3,0),0)</f>
        <v>0</v>
      </c>
      <c r="I30" s="28">
        <v>0</v>
      </c>
      <c r="J30" s="28">
        <f t="shared" si="6"/>
        <v>0</v>
      </c>
      <c r="K30" s="28">
        <f>+IFERROR(VLOOKUP(A30,TB310320119!$A$11:$C$422,2,0),0)</f>
        <v>0</v>
      </c>
      <c r="L30" s="28">
        <v>0</v>
      </c>
      <c r="M30" s="28">
        <f t="shared" si="2"/>
        <v>0</v>
      </c>
      <c r="N30" s="28">
        <f>+IFERROR(VLOOKUP(A30,TB310320119!$A$11:$C$421,3,0),0)</f>
        <v>48876.25</v>
      </c>
      <c r="O30" s="28">
        <v>0</v>
      </c>
      <c r="P30" s="28">
        <f t="shared" si="3"/>
        <v>48876.25</v>
      </c>
      <c r="Q30" s="20">
        <f t="shared" si="4"/>
        <v>97752.5</v>
      </c>
    </row>
    <row r="31" spans="1:17" s="35" customFormat="1" ht="15" customHeight="1">
      <c r="A31" s="67" t="s">
        <v>37</v>
      </c>
      <c r="B31" s="28">
        <v>7</v>
      </c>
      <c r="C31" s="28" t="s">
        <v>561</v>
      </c>
      <c r="D31" s="28" t="s">
        <v>562</v>
      </c>
      <c r="E31" s="28">
        <f>+IFERROR(VLOOKUP(A31,TB31032020!$A$11:$C$415,2,0),0)</f>
        <v>0</v>
      </c>
      <c r="F31" s="28">
        <v>0</v>
      </c>
      <c r="G31" s="28">
        <f t="shared" si="5"/>
        <v>0</v>
      </c>
      <c r="H31" s="28">
        <f>+IFERROR(VLOOKUP(A31,TB31032020!$A$11:$C$415,3,0),0)</f>
        <v>46846</v>
      </c>
      <c r="I31" s="28">
        <v>0</v>
      </c>
      <c r="J31" s="28">
        <f t="shared" si="6"/>
        <v>46846</v>
      </c>
      <c r="K31" s="28">
        <f>+IFERROR(VLOOKUP(A31,TB310320119!$A$11:$C$422,2,0),0)</f>
        <v>0</v>
      </c>
      <c r="L31" s="28">
        <v>0</v>
      </c>
      <c r="M31" s="28">
        <f t="shared" si="2"/>
        <v>0</v>
      </c>
      <c r="N31" s="28">
        <f>+IFERROR(VLOOKUP(A31,TB310320119!$A$11:$C$421,3,0),0)</f>
        <v>0</v>
      </c>
      <c r="O31" s="28">
        <v>0</v>
      </c>
      <c r="P31" s="28">
        <f t="shared" si="3"/>
        <v>0</v>
      </c>
      <c r="Q31" s="20">
        <f t="shared" si="4"/>
        <v>93692</v>
      </c>
    </row>
    <row r="32" spans="1:17" s="35" customFormat="1" ht="15" customHeight="1">
      <c r="A32" s="49" t="s">
        <v>38</v>
      </c>
      <c r="B32" s="28">
        <v>20</v>
      </c>
      <c r="C32" s="28" t="s">
        <v>643</v>
      </c>
      <c r="D32" s="28" t="s">
        <v>38</v>
      </c>
      <c r="E32" s="28">
        <f>+IFERROR(VLOOKUP(A32,TB31032020!$A$11:$C$415,2,0),0)</f>
        <v>0</v>
      </c>
      <c r="F32" s="28">
        <v>0</v>
      </c>
      <c r="G32" s="28">
        <f t="shared" si="5"/>
        <v>0</v>
      </c>
      <c r="H32" s="28">
        <f>+IFERROR(VLOOKUP(A32,TB31032020!$A$11:$C$415,3,0),0)</f>
        <v>6442</v>
      </c>
      <c r="I32" s="28">
        <v>0</v>
      </c>
      <c r="J32" s="28">
        <f t="shared" si="6"/>
        <v>6442</v>
      </c>
      <c r="K32" s="28">
        <f>+IFERROR(VLOOKUP(A32,TB310320119!$A$11:$C$422,2,0),0)</f>
        <v>0</v>
      </c>
      <c r="L32" s="28">
        <v>0</v>
      </c>
      <c r="M32" s="28">
        <f t="shared" si="2"/>
        <v>0</v>
      </c>
      <c r="N32" s="28">
        <f>+IFERROR(VLOOKUP(A32,TB310320119!$A$11:$C$421,3,0),0)</f>
        <v>0</v>
      </c>
      <c r="O32" s="28">
        <v>0</v>
      </c>
      <c r="P32" s="28">
        <f t="shared" si="3"/>
        <v>0</v>
      </c>
      <c r="Q32" s="20">
        <f t="shared" si="4"/>
        <v>12884</v>
      </c>
    </row>
    <row r="33" spans="1:17" s="35" customFormat="1" ht="15" customHeight="1">
      <c r="A33" s="42" t="s">
        <v>432</v>
      </c>
      <c r="B33" s="28">
        <v>7</v>
      </c>
      <c r="C33" s="28" t="s">
        <v>561</v>
      </c>
      <c r="D33" s="28" t="s">
        <v>561</v>
      </c>
      <c r="E33" s="28">
        <f>+IFERROR(VLOOKUP(A33,TB31032020!$A$11:$C$415,2,0),0)</f>
        <v>0</v>
      </c>
      <c r="F33" s="28">
        <v>0</v>
      </c>
      <c r="G33" s="28">
        <f t="shared" si="5"/>
        <v>0</v>
      </c>
      <c r="H33" s="28">
        <f>+IFERROR(VLOOKUP(A33,TB31032020!$A$11:$C$415,3,0),0)</f>
        <v>0</v>
      </c>
      <c r="I33" s="28">
        <v>0</v>
      </c>
      <c r="J33" s="28">
        <f t="shared" si="6"/>
        <v>0</v>
      </c>
      <c r="K33" s="28">
        <f>+IFERROR(VLOOKUP(A33,TB310320119!$A$11:$C$422,2,0),0)</f>
        <v>0</v>
      </c>
      <c r="L33" s="28">
        <v>0</v>
      </c>
      <c r="M33" s="28">
        <f t="shared" si="2"/>
        <v>0</v>
      </c>
      <c r="N33" s="28">
        <f>+IFERROR(VLOOKUP(A33,TB310320119!$A$11:$C$421,3,0),0)</f>
        <v>72000</v>
      </c>
      <c r="O33" s="28">
        <v>0</v>
      </c>
      <c r="P33" s="28">
        <f t="shared" si="3"/>
        <v>72000</v>
      </c>
      <c r="Q33" s="20">
        <f t="shared" si="4"/>
        <v>144000</v>
      </c>
    </row>
    <row r="34" spans="1:17" s="35" customFormat="1" ht="15" customHeight="1">
      <c r="A34" s="28" t="s">
        <v>39</v>
      </c>
      <c r="B34" s="28">
        <v>26</v>
      </c>
      <c r="C34" s="28" t="s">
        <v>568</v>
      </c>
      <c r="D34" s="28" t="s">
        <v>587</v>
      </c>
      <c r="E34" s="28">
        <f>+IFERROR(VLOOKUP(A34,TB31032020!$A$11:$C$415,2,0),0)</f>
        <v>3827</v>
      </c>
      <c r="F34" s="28">
        <v>0</v>
      </c>
      <c r="G34" s="28">
        <f t="shared" si="5"/>
        <v>3827</v>
      </c>
      <c r="H34" s="28">
        <f>+IFERROR(VLOOKUP(A34,TB31032020!$A$11:$C$415,3,0),0)</f>
        <v>0</v>
      </c>
      <c r="I34" s="28">
        <v>0</v>
      </c>
      <c r="J34" s="28">
        <f t="shared" si="6"/>
        <v>0</v>
      </c>
      <c r="K34" s="28">
        <f>+IFERROR(VLOOKUP(A34,TB310320119!$A$11:$C$422,2,0),0)</f>
        <v>14365</v>
      </c>
      <c r="L34" s="28">
        <v>0</v>
      </c>
      <c r="M34" s="28">
        <f t="shared" si="2"/>
        <v>14365</v>
      </c>
      <c r="N34" s="28">
        <f>+IFERROR(VLOOKUP(A34,TB310320119!$A$11:$C$421,3,0),0)</f>
        <v>0</v>
      </c>
      <c r="O34" s="28">
        <v>0</v>
      </c>
      <c r="P34" s="28">
        <f t="shared" si="3"/>
        <v>0</v>
      </c>
      <c r="Q34" s="20">
        <f t="shared" si="4"/>
        <v>36384</v>
      </c>
    </row>
    <row r="35" spans="1:17" s="35" customFormat="1" ht="15" customHeight="1">
      <c r="A35" s="42" t="s">
        <v>40</v>
      </c>
      <c r="B35" s="28">
        <v>26</v>
      </c>
      <c r="C35" s="28" t="s">
        <v>568</v>
      </c>
      <c r="D35" s="28" t="s">
        <v>587</v>
      </c>
      <c r="E35" s="28">
        <f>+IFERROR(VLOOKUP(A35,TB31032020!$A$11:$C$415,2,0),0)</f>
        <v>7719</v>
      </c>
      <c r="F35" s="28">
        <v>0</v>
      </c>
      <c r="G35" s="28">
        <f t="shared" si="5"/>
        <v>7719</v>
      </c>
      <c r="H35" s="28">
        <f>+IFERROR(VLOOKUP(A35,TB31032020!$A$11:$C$415,3,0),0)</f>
        <v>0</v>
      </c>
      <c r="I35" s="28">
        <v>0</v>
      </c>
      <c r="J35" s="28">
        <f t="shared" si="6"/>
        <v>0</v>
      </c>
      <c r="K35" s="28">
        <f>+IFERROR(VLOOKUP(A35,TB310320119!$A$11:$C$422,2,0),0)</f>
        <v>0</v>
      </c>
      <c r="L35" s="28">
        <v>0</v>
      </c>
      <c r="M35" s="28">
        <f t="shared" si="2"/>
        <v>0</v>
      </c>
      <c r="N35" s="28">
        <f>+IFERROR(VLOOKUP(A35,TB310320119!$A$11:$C$421,3,0),0)</f>
        <v>0</v>
      </c>
      <c r="O35" s="28">
        <v>0</v>
      </c>
      <c r="P35" s="28">
        <f t="shared" si="3"/>
        <v>0</v>
      </c>
      <c r="Q35" s="20">
        <f t="shared" si="4"/>
        <v>15438</v>
      </c>
    </row>
    <row r="36" spans="1:17" s="35" customFormat="1" ht="15" customHeight="1">
      <c r="A36" s="48" t="s">
        <v>433</v>
      </c>
      <c r="B36" s="28">
        <v>26</v>
      </c>
      <c r="C36" s="28" t="s">
        <v>568</v>
      </c>
      <c r="D36" s="28" t="s">
        <v>587</v>
      </c>
      <c r="E36" s="28">
        <f>+IFERROR(VLOOKUP(A36,TB31032020!$A$11:$C$415,2,0),0)</f>
        <v>0</v>
      </c>
      <c r="F36" s="28">
        <v>0</v>
      </c>
      <c r="G36" s="28">
        <f t="shared" si="5"/>
        <v>0</v>
      </c>
      <c r="H36" s="28">
        <f>+IFERROR(VLOOKUP(A36,TB31032020!$A$11:$C$415,3,0),0)</f>
        <v>0</v>
      </c>
      <c r="I36" s="28">
        <v>0</v>
      </c>
      <c r="J36" s="28">
        <f t="shared" si="6"/>
        <v>0</v>
      </c>
      <c r="K36" s="28">
        <f>+IFERROR(VLOOKUP(A36,TB310320119!$A$11:$C$422,2,0),0)</f>
        <v>1450</v>
      </c>
      <c r="L36" s="28">
        <v>0</v>
      </c>
      <c r="M36" s="28">
        <f t="shared" si="2"/>
        <v>1450</v>
      </c>
      <c r="N36" s="28">
        <f>+IFERROR(VLOOKUP(A36,TB310320119!$A$11:$C$421,3,0),0)</f>
        <v>0</v>
      </c>
      <c r="O36" s="28">
        <v>0</v>
      </c>
      <c r="P36" s="28">
        <f t="shared" si="3"/>
        <v>0</v>
      </c>
      <c r="Q36" s="20">
        <f t="shared" si="4"/>
        <v>2900</v>
      </c>
    </row>
    <row r="37" spans="1:17" s="35" customFormat="1" ht="15" customHeight="1">
      <c r="A37" s="41" t="s">
        <v>41</v>
      </c>
      <c r="B37" s="28">
        <v>7</v>
      </c>
      <c r="C37" s="28" t="s">
        <v>561</v>
      </c>
      <c r="D37" s="28" t="s">
        <v>562</v>
      </c>
      <c r="E37" s="28">
        <f>+IFERROR(VLOOKUP(A37,TB31032020!$A$11:$C$415,2,0),0)</f>
        <v>0</v>
      </c>
      <c r="F37" s="28">
        <v>0</v>
      </c>
      <c r="G37" s="28">
        <f t="shared" si="5"/>
        <v>0</v>
      </c>
      <c r="H37" s="28">
        <f>+IFERROR(VLOOKUP(A37,TB31032020!$A$11:$C$415,3,0),0)</f>
        <v>243500</v>
      </c>
      <c r="I37" s="28">
        <v>0</v>
      </c>
      <c r="J37" s="28">
        <f t="shared" si="6"/>
        <v>243500</v>
      </c>
      <c r="K37" s="28">
        <f>+IFERROR(VLOOKUP(A37,TB310320119!$A$11:$C$422,2,0),0)</f>
        <v>0</v>
      </c>
      <c r="L37" s="28">
        <v>0</v>
      </c>
      <c r="M37" s="28">
        <f t="shared" si="2"/>
        <v>0</v>
      </c>
      <c r="N37" s="28">
        <f>+IFERROR(VLOOKUP(A37,TB310320119!$A$11:$C$421,3,0),0)</f>
        <v>225000</v>
      </c>
      <c r="O37" s="28">
        <v>0</v>
      </c>
      <c r="P37" s="28">
        <f t="shared" si="3"/>
        <v>225000</v>
      </c>
      <c r="Q37" s="20">
        <f t="shared" si="4"/>
        <v>937000</v>
      </c>
    </row>
    <row r="38" spans="1:17" s="35" customFormat="1" ht="15" customHeight="1">
      <c r="A38" s="42" t="s">
        <v>42</v>
      </c>
      <c r="B38" s="43">
        <v>26</v>
      </c>
      <c r="C38" s="43" t="s">
        <v>568</v>
      </c>
      <c r="D38" s="43" t="s">
        <v>42</v>
      </c>
      <c r="E38" s="28">
        <f>+IFERROR(VLOOKUP(A38,TB31032020!$A$11:$C$415,2,0),0)</f>
        <v>2927</v>
      </c>
      <c r="F38" s="28">
        <v>0</v>
      </c>
      <c r="G38" s="28">
        <f t="shared" si="5"/>
        <v>2927</v>
      </c>
      <c r="H38" s="28">
        <f>+IFERROR(VLOOKUP(A38,TB31032020!$A$11:$C$415,3,0),0)</f>
        <v>0</v>
      </c>
      <c r="I38" s="28">
        <v>0</v>
      </c>
      <c r="J38" s="28">
        <f t="shared" si="6"/>
        <v>0</v>
      </c>
      <c r="K38" s="28">
        <f>+IFERROR(VLOOKUP(A38,TB310320119!$A$11:$C$422,2,0),0)</f>
        <v>320437.44</v>
      </c>
      <c r="L38" s="28">
        <v>2690937.5</v>
      </c>
      <c r="M38" s="28">
        <f t="shared" si="2"/>
        <v>3011374.94</v>
      </c>
      <c r="N38" s="28">
        <f>+IFERROR(VLOOKUP(A38,TB310320119!$A$11:$C$421,3,0),0)</f>
        <v>0</v>
      </c>
      <c r="O38" s="28">
        <v>0</v>
      </c>
      <c r="P38" s="28">
        <f t="shared" si="3"/>
        <v>0</v>
      </c>
      <c r="Q38" s="20">
        <f t="shared" si="4"/>
        <v>6028603.8799999999</v>
      </c>
    </row>
    <row r="39" spans="1:17" s="35" customFormat="1" ht="15" customHeight="1">
      <c r="A39" s="42" t="s">
        <v>43</v>
      </c>
      <c r="B39" s="28">
        <v>7</v>
      </c>
      <c r="C39" s="28" t="s">
        <v>561</v>
      </c>
      <c r="D39" s="28" t="s">
        <v>561</v>
      </c>
      <c r="E39" s="28">
        <f>+IFERROR(VLOOKUP(A39,TB31032020!$A$11:$C$415,2,0),0)</f>
        <v>0</v>
      </c>
      <c r="F39" s="28">
        <v>0</v>
      </c>
      <c r="G39" s="28">
        <f t="shared" si="5"/>
        <v>0</v>
      </c>
      <c r="H39" s="28">
        <f>+IFERROR(VLOOKUP(A39,TB31032020!$A$11:$C$415,3,0),0)</f>
        <v>72103</v>
      </c>
      <c r="I39" s="28">
        <v>0</v>
      </c>
      <c r="J39" s="28">
        <f t="shared" si="6"/>
        <v>72103</v>
      </c>
      <c r="K39" s="28">
        <f>+IFERROR(VLOOKUP(A39,TB310320119!$A$11:$C$422,2,0),0)</f>
        <v>0</v>
      </c>
      <c r="L39" s="28">
        <v>0</v>
      </c>
      <c r="M39" s="28">
        <f t="shared" si="2"/>
        <v>0</v>
      </c>
      <c r="N39" s="28">
        <f>+IFERROR(VLOOKUP(A39,TB310320119!$A$11:$C$421,3,0),0)</f>
        <v>56666</v>
      </c>
      <c r="O39" s="28">
        <v>0</v>
      </c>
      <c r="P39" s="28">
        <f t="shared" ref="P39:P72" si="10">N39+O39</f>
        <v>56666</v>
      </c>
      <c r="Q39" s="20">
        <f t="shared" si="4"/>
        <v>257538</v>
      </c>
    </row>
    <row r="40" spans="1:17" s="35" customFormat="1" ht="15" customHeight="1">
      <c r="A40" s="28" t="s">
        <v>44</v>
      </c>
      <c r="B40" s="28">
        <v>4</v>
      </c>
      <c r="C40" s="28" t="s">
        <v>576</v>
      </c>
      <c r="D40" s="28" t="s">
        <v>577</v>
      </c>
      <c r="E40" s="28">
        <f>+IFERROR(VLOOKUP(A40,TB31032020!$A$11:$C$415,2,0),0)</f>
        <v>0</v>
      </c>
      <c r="F40" s="28">
        <v>0</v>
      </c>
      <c r="G40" s="28">
        <f t="shared" si="5"/>
        <v>0</v>
      </c>
      <c r="H40" s="28">
        <f>+IFERROR(VLOOKUP(A40,TB31032020!$A$11:$C$415,3,0),0)</f>
        <v>1093348</v>
      </c>
      <c r="I40" s="28">
        <v>0</v>
      </c>
      <c r="J40" s="28">
        <f t="shared" si="6"/>
        <v>1093348</v>
      </c>
      <c r="K40" s="28">
        <f>+IFERROR(VLOOKUP(A40,TB310320119!$A$11:$C$422,2,0),0)</f>
        <v>0</v>
      </c>
      <c r="L40" s="28">
        <v>0</v>
      </c>
      <c r="M40" s="28">
        <f t="shared" si="2"/>
        <v>0</v>
      </c>
      <c r="N40" s="28">
        <f>+IFERROR(VLOOKUP(A40,TB310320119!$A$11:$C$421,3,0),0)</f>
        <v>1000000</v>
      </c>
      <c r="O40" s="28">
        <v>0</v>
      </c>
      <c r="P40" s="28">
        <f t="shared" si="10"/>
        <v>1000000</v>
      </c>
      <c r="Q40" s="20">
        <f t="shared" si="4"/>
        <v>4186696</v>
      </c>
    </row>
    <row r="41" spans="1:17" s="35" customFormat="1" ht="15" customHeight="1">
      <c r="A41" s="28" t="s">
        <v>45</v>
      </c>
      <c r="B41" s="28">
        <v>26</v>
      </c>
      <c r="C41" s="28" t="s">
        <v>568</v>
      </c>
      <c r="D41" s="28" t="s">
        <v>588</v>
      </c>
      <c r="E41" s="28">
        <f>+IFERROR(VLOOKUP(A41,TB31032020!$A$11:$C$415,2,0),0)</f>
        <v>475603.13</v>
      </c>
      <c r="F41" s="28">
        <v>20.5</v>
      </c>
      <c r="G41" s="28">
        <f t="shared" si="5"/>
        <v>475623.63</v>
      </c>
      <c r="H41" s="28">
        <f>+IFERROR(VLOOKUP(A41,TB31032020!$A$11:$C$415,3,0),0)</f>
        <v>0</v>
      </c>
      <c r="I41" s="28">
        <v>0</v>
      </c>
      <c r="J41" s="28">
        <f t="shared" si="6"/>
        <v>0</v>
      </c>
      <c r="K41" s="28">
        <f>+IFERROR(VLOOKUP(A41,TB310320119!$A$11:$C$422,2,0),0)</f>
        <v>495794.41</v>
      </c>
      <c r="L41" s="28">
        <v>0</v>
      </c>
      <c r="M41" s="28">
        <f t="shared" si="2"/>
        <v>495794.41</v>
      </c>
      <c r="N41" s="28">
        <f>+IFERROR(VLOOKUP(A41,TB310320119!$A$11:$C$421,3,0),0)</f>
        <v>0</v>
      </c>
      <c r="O41" s="28">
        <v>0</v>
      </c>
      <c r="P41" s="28">
        <f t="shared" si="10"/>
        <v>0</v>
      </c>
      <c r="Q41" s="20">
        <f t="shared" si="4"/>
        <v>1942836.0799999998</v>
      </c>
    </row>
    <row r="42" spans="1:17" s="35" customFormat="1" ht="15" customHeight="1">
      <c r="A42" s="52" t="s">
        <v>46</v>
      </c>
      <c r="B42" s="28">
        <v>26</v>
      </c>
      <c r="C42" s="28" t="s">
        <v>568</v>
      </c>
      <c r="D42" s="28" t="s">
        <v>588</v>
      </c>
      <c r="E42" s="28">
        <f>+IFERROR(VLOOKUP(A42,TB31032020!$A$11:$C$415,2,0),0)</f>
        <v>132600</v>
      </c>
      <c r="F42" s="28">
        <v>0</v>
      </c>
      <c r="G42" s="28">
        <f t="shared" si="5"/>
        <v>132600</v>
      </c>
      <c r="H42" s="28">
        <f>+IFERROR(VLOOKUP(A42,TB31032020!$A$11:$C$415,3,0),0)</f>
        <v>0</v>
      </c>
      <c r="I42" s="28">
        <v>0</v>
      </c>
      <c r="J42" s="28">
        <f t="shared" si="6"/>
        <v>0</v>
      </c>
      <c r="K42" s="28">
        <f>+IFERROR(VLOOKUP(A42,TB310320119!$A$11:$C$422,2,0),0)</f>
        <v>50000</v>
      </c>
      <c r="L42" s="28">
        <v>0</v>
      </c>
      <c r="M42" s="28">
        <f t="shared" si="2"/>
        <v>50000</v>
      </c>
      <c r="N42" s="28">
        <f>+IFERROR(VLOOKUP(A42,TB310320119!$A$11:$C$421,3,0),0)</f>
        <v>0</v>
      </c>
      <c r="O42" s="28">
        <v>0</v>
      </c>
      <c r="P42" s="28">
        <f t="shared" si="10"/>
        <v>0</v>
      </c>
      <c r="Q42" s="20">
        <f t="shared" si="4"/>
        <v>365200</v>
      </c>
    </row>
    <row r="43" spans="1:17" s="35" customFormat="1" ht="15" customHeight="1">
      <c r="A43" s="42" t="s">
        <v>47</v>
      </c>
      <c r="B43" s="28">
        <v>25</v>
      </c>
      <c r="C43" s="28" t="s">
        <v>589</v>
      </c>
      <c r="D43" s="28" t="s">
        <v>590</v>
      </c>
      <c r="E43" s="28">
        <f>+IFERROR(VLOOKUP(A43,TB31032020!$A$11:$C$415,2,0),0)</f>
        <v>185908</v>
      </c>
      <c r="F43" s="28">
        <v>0</v>
      </c>
      <c r="G43" s="28">
        <f t="shared" si="5"/>
        <v>185908</v>
      </c>
      <c r="H43" s="28">
        <f>+IFERROR(VLOOKUP(A43,TB31032020!$A$11:$C$415,3,0),0)</f>
        <v>0</v>
      </c>
      <c r="I43" s="28">
        <v>0</v>
      </c>
      <c r="J43" s="28">
        <f t="shared" si="6"/>
        <v>0</v>
      </c>
      <c r="K43" s="28">
        <f>+IFERROR(VLOOKUP(A43,TB310320119!$A$11:$C$422,2,0),0)</f>
        <v>146401</v>
      </c>
      <c r="L43" s="28">
        <v>0</v>
      </c>
      <c r="M43" s="28">
        <f t="shared" si="2"/>
        <v>146401</v>
      </c>
      <c r="N43" s="28">
        <f>+IFERROR(VLOOKUP(A43,TB310320119!$A$11:$C$421,3,0),0)</f>
        <v>0</v>
      </c>
      <c r="O43" s="28">
        <v>0</v>
      </c>
      <c r="P43" s="28">
        <f t="shared" si="10"/>
        <v>0</v>
      </c>
      <c r="Q43" s="20">
        <f t="shared" si="4"/>
        <v>664618</v>
      </c>
    </row>
    <row r="44" spans="1:17" s="35" customFormat="1" ht="15" customHeight="1">
      <c r="A44" s="28" t="s">
        <v>48</v>
      </c>
      <c r="B44" s="28">
        <v>25</v>
      </c>
      <c r="C44" s="28" t="s">
        <v>589</v>
      </c>
      <c r="D44" s="28" t="s">
        <v>590</v>
      </c>
      <c r="E44" s="28">
        <f>+IFERROR(VLOOKUP(A44,TB31032020!$A$11:$C$415,2,0),0)</f>
        <v>140000</v>
      </c>
      <c r="F44" s="28">
        <v>0</v>
      </c>
      <c r="G44" s="28">
        <f t="shared" si="5"/>
        <v>140000</v>
      </c>
      <c r="H44" s="28">
        <f>+IFERROR(VLOOKUP(A44,TB31032020!$A$11:$C$415,3,0),0)</f>
        <v>0</v>
      </c>
      <c r="I44" s="28">
        <v>0</v>
      </c>
      <c r="J44" s="28">
        <f t="shared" si="6"/>
        <v>0</v>
      </c>
      <c r="K44" s="28">
        <f>+IFERROR(VLOOKUP(A44,TB310320119!$A$11:$C$422,2,0),0)</f>
        <v>293473.74</v>
      </c>
      <c r="L44" s="28">
        <v>0</v>
      </c>
      <c r="M44" s="28">
        <f t="shared" si="2"/>
        <v>293473.74</v>
      </c>
      <c r="N44" s="28">
        <f>+IFERROR(VLOOKUP(A44,TB310320119!$A$11:$C$421,3,0),0)</f>
        <v>0</v>
      </c>
      <c r="O44" s="28">
        <v>0</v>
      </c>
      <c r="P44" s="28">
        <f t="shared" si="10"/>
        <v>0</v>
      </c>
      <c r="Q44" s="20">
        <f t="shared" si="4"/>
        <v>866947.48</v>
      </c>
    </row>
    <row r="45" spans="1:17" s="35" customFormat="1" ht="15" customHeight="1">
      <c r="A45" s="28" t="s">
        <v>434</v>
      </c>
      <c r="B45" s="28">
        <v>7</v>
      </c>
      <c r="C45" s="28" t="s">
        <v>561</v>
      </c>
      <c r="D45" s="28" t="s">
        <v>561</v>
      </c>
      <c r="E45" s="28">
        <f>+IFERROR(VLOOKUP(A45,TB31032020!$A$11:$C$415,2,0),0)</f>
        <v>0</v>
      </c>
      <c r="F45" s="28">
        <v>0</v>
      </c>
      <c r="G45" s="28">
        <f t="shared" si="5"/>
        <v>0</v>
      </c>
      <c r="H45" s="28">
        <f>+IFERROR(VLOOKUP(A45,TB31032020!$A$11:$C$415,3,0),0)</f>
        <v>0</v>
      </c>
      <c r="I45" s="28">
        <v>0</v>
      </c>
      <c r="J45" s="28">
        <f t="shared" si="6"/>
        <v>0</v>
      </c>
      <c r="K45" s="28">
        <f>+IFERROR(VLOOKUP(A45,TB310320119!$A$11:$C$422,2,0),0)</f>
        <v>0</v>
      </c>
      <c r="L45" s="28">
        <v>0</v>
      </c>
      <c r="M45" s="28">
        <f t="shared" si="2"/>
        <v>0</v>
      </c>
      <c r="N45" s="28">
        <f>+IFERROR(VLOOKUP(A45,TB310320119!$A$11:$C$421,3,0),0)</f>
        <v>442500</v>
      </c>
      <c r="O45" s="28">
        <v>0</v>
      </c>
      <c r="P45" s="28">
        <f t="shared" si="10"/>
        <v>442500</v>
      </c>
      <c r="Q45" s="20">
        <f t="shared" si="4"/>
        <v>885000</v>
      </c>
    </row>
    <row r="46" spans="1:17" s="35" customFormat="1" ht="15" customHeight="1">
      <c r="A46" s="37" t="s">
        <v>49</v>
      </c>
      <c r="B46" s="28">
        <v>7</v>
      </c>
      <c r="C46" s="28" t="s">
        <v>561</v>
      </c>
      <c r="D46" s="28" t="s">
        <v>561</v>
      </c>
      <c r="E46" s="28">
        <f>+IFERROR(VLOOKUP(A46,TB31032020!$A$11:$C$415,2,0),0)</f>
        <v>0</v>
      </c>
      <c r="F46" s="28">
        <v>0</v>
      </c>
      <c r="G46" s="28">
        <f t="shared" si="5"/>
        <v>0</v>
      </c>
      <c r="H46" s="28">
        <f>+IFERROR(VLOOKUP(A46,TB31032020!$A$11:$C$415,3,0),0)</f>
        <v>53563</v>
      </c>
      <c r="I46" s="28">
        <v>0</v>
      </c>
      <c r="J46" s="28">
        <f t="shared" si="6"/>
        <v>53563</v>
      </c>
      <c r="K46" s="28">
        <f>+IFERROR(VLOOKUP(A46,TB310320119!$A$11:$C$422,2,0),0)</f>
        <v>0</v>
      </c>
      <c r="L46" s="28">
        <v>0</v>
      </c>
      <c r="M46" s="28">
        <f t="shared" si="2"/>
        <v>0</v>
      </c>
      <c r="N46" s="28">
        <f>+IFERROR(VLOOKUP(A46,TB310320119!$A$11:$C$421,3,0),0)</f>
        <v>18753</v>
      </c>
      <c r="O46" s="28">
        <v>0</v>
      </c>
      <c r="P46" s="28">
        <f t="shared" si="10"/>
        <v>18753</v>
      </c>
      <c r="Q46" s="20">
        <f t="shared" si="4"/>
        <v>144632</v>
      </c>
    </row>
    <row r="47" spans="1:17" s="35" customFormat="1" ht="15" customHeight="1">
      <c r="A47" s="28" t="s">
        <v>435</v>
      </c>
      <c r="B47" s="28">
        <v>7</v>
      </c>
      <c r="C47" s="28" t="s">
        <v>561</v>
      </c>
      <c r="D47" s="28" t="s">
        <v>561</v>
      </c>
      <c r="E47" s="28">
        <f>+IFERROR(VLOOKUP(A47,TB31032020!$A$11:$C$415,2,0),0)</f>
        <v>0</v>
      </c>
      <c r="F47" s="28">
        <v>0</v>
      </c>
      <c r="G47" s="28">
        <f t="shared" si="5"/>
        <v>0</v>
      </c>
      <c r="H47" s="28">
        <f>+IFERROR(VLOOKUP(A47,TB31032020!$A$11:$C$415,3,0),0)</f>
        <v>0</v>
      </c>
      <c r="I47" s="28">
        <v>0</v>
      </c>
      <c r="J47" s="28">
        <f t="shared" si="6"/>
        <v>0</v>
      </c>
      <c r="K47" s="28">
        <f>+IFERROR(VLOOKUP(A47,TB310320119!$A$11:$C$422,2,0),0)</f>
        <v>0</v>
      </c>
      <c r="L47" s="28">
        <v>0</v>
      </c>
      <c r="M47" s="28">
        <f t="shared" si="2"/>
        <v>0</v>
      </c>
      <c r="N47" s="28">
        <f>+IFERROR(VLOOKUP(A47,TB310320119!$A$11:$C$421,3,0),0)</f>
        <v>107380</v>
      </c>
      <c r="O47" s="28">
        <v>0</v>
      </c>
      <c r="P47" s="28">
        <f t="shared" si="10"/>
        <v>107380</v>
      </c>
      <c r="Q47" s="20">
        <f t="shared" si="4"/>
        <v>214760</v>
      </c>
    </row>
    <row r="48" spans="1:17" s="35" customFormat="1" ht="15" customHeight="1">
      <c r="A48" s="42" t="s">
        <v>436</v>
      </c>
      <c r="B48" s="28">
        <v>15</v>
      </c>
      <c r="C48" s="28" t="s">
        <v>563</v>
      </c>
      <c r="D48" s="28" t="s">
        <v>563</v>
      </c>
      <c r="E48" s="28">
        <f>+IFERROR(VLOOKUP(A48,TB31032020!$A$11:$C$415,2,0),0)</f>
        <v>0</v>
      </c>
      <c r="F48" s="28">
        <v>0</v>
      </c>
      <c r="G48" s="28">
        <f t="shared" si="5"/>
        <v>0</v>
      </c>
      <c r="H48" s="28">
        <f>+IFERROR(VLOOKUP(A48,TB31032020!$A$11:$C$415,3,0),0)</f>
        <v>0</v>
      </c>
      <c r="I48" s="28">
        <v>0</v>
      </c>
      <c r="J48" s="28">
        <f t="shared" si="6"/>
        <v>0</v>
      </c>
      <c r="K48" s="28">
        <f>+IFERROR(VLOOKUP(A48,TB310320119!$A$11:$C$422,2,0),0)</f>
        <v>2018054</v>
      </c>
      <c r="L48" s="28">
        <v>0</v>
      </c>
      <c r="M48" s="28">
        <f t="shared" si="2"/>
        <v>2018054</v>
      </c>
      <c r="N48" s="28">
        <f>+IFERROR(VLOOKUP(A48,TB310320119!$A$11:$C$421,3,0),0)</f>
        <v>0</v>
      </c>
      <c r="O48" s="28">
        <v>0</v>
      </c>
      <c r="P48" s="28">
        <f t="shared" si="10"/>
        <v>0</v>
      </c>
      <c r="Q48" s="20">
        <f t="shared" si="4"/>
        <v>4036108</v>
      </c>
    </row>
    <row r="49" spans="1:17" s="35" customFormat="1" ht="15" customHeight="1">
      <c r="A49" s="49" t="s">
        <v>50</v>
      </c>
      <c r="B49" s="28">
        <v>12</v>
      </c>
      <c r="C49" s="28" t="s">
        <v>566</v>
      </c>
      <c r="D49" s="28" t="s">
        <v>634</v>
      </c>
      <c r="E49" s="28">
        <f>+IFERROR(VLOOKUP(A49,TB31032020!$A$11:$C$415,2,0),0)</f>
        <v>2000</v>
      </c>
      <c r="F49" s="28">
        <v>0</v>
      </c>
      <c r="G49" s="28">
        <f t="shared" si="5"/>
        <v>2000</v>
      </c>
      <c r="H49" s="28">
        <f>+IFERROR(VLOOKUP(A49,TB31032020!$A$11:$C$415,3,0),0)</f>
        <v>0</v>
      </c>
      <c r="I49" s="28">
        <v>0</v>
      </c>
      <c r="J49" s="28">
        <f t="shared" si="6"/>
        <v>0</v>
      </c>
      <c r="K49" s="28">
        <f>+IFERROR(VLOOKUP(A49,TB310320119!$A$11:$C$422,2,0),0)</f>
        <v>0</v>
      </c>
      <c r="L49" s="28">
        <v>0</v>
      </c>
      <c r="M49" s="28">
        <f t="shared" si="2"/>
        <v>0</v>
      </c>
      <c r="N49" s="28">
        <f>+IFERROR(VLOOKUP(A49,TB310320119!$A$11:$C$421,3,0),0)</f>
        <v>0</v>
      </c>
      <c r="O49" s="28">
        <v>0</v>
      </c>
      <c r="P49" s="28">
        <f t="shared" si="10"/>
        <v>0</v>
      </c>
      <c r="Q49" s="20">
        <f t="shared" si="4"/>
        <v>4000</v>
      </c>
    </row>
    <row r="50" spans="1:17" s="35" customFormat="1" ht="15" customHeight="1">
      <c r="A50" s="28" t="s">
        <v>51</v>
      </c>
      <c r="B50" s="28">
        <v>26</v>
      </c>
      <c r="C50" s="28" t="s">
        <v>568</v>
      </c>
      <c r="D50" s="28" t="s">
        <v>591</v>
      </c>
      <c r="E50" s="28">
        <f>+IFERROR(VLOOKUP(A50,TB31032020!$A$11:$C$415,2,0),0)</f>
        <v>3586075</v>
      </c>
      <c r="F50" s="28">
        <v>0</v>
      </c>
      <c r="G50" s="28">
        <f t="shared" si="5"/>
        <v>3586075</v>
      </c>
      <c r="H50" s="28">
        <f>+IFERROR(VLOOKUP(A50,TB31032020!$A$11:$C$415,3,0),0)</f>
        <v>0</v>
      </c>
      <c r="I50" s="28">
        <v>0</v>
      </c>
      <c r="J50" s="28">
        <f t="shared" si="6"/>
        <v>0</v>
      </c>
      <c r="K50" s="28">
        <f>+IFERROR(VLOOKUP(A50,TB310320119!$A$11:$C$422,2,0),0)</f>
        <v>3427004</v>
      </c>
      <c r="L50" s="28">
        <v>0</v>
      </c>
      <c r="M50" s="28">
        <f t="shared" si="2"/>
        <v>3427004</v>
      </c>
      <c r="N50" s="28">
        <f>+IFERROR(VLOOKUP(A50,TB310320119!$A$11:$C$421,3,0),0)</f>
        <v>0</v>
      </c>
      <c r="O50" s="28">
        <v>0</v>
      </c>
      <c r="P50" s="28">
        <f t="shared" si="10"/>
        <v>0</v>
      </c>
      <c r="Q50" s="20">
        <f t="shared" si="4"/>
        <v>14026158</v>
      </c>
    </row>
    <row r="51" spans="1:17" s="35" customFormat="1" ht="15" customHeight="1">
      <c r="A51" s="28" t="s">
        <v>594</v>
      </c>
      <c r="B51" s="28">
        <v>26</v>
      </c>
      <c r="C51" s="28" t="s">
        <v>568</v>
      </c>
      <c r="D51" s="28" t="s">
        <v>595</v>
      </c>
      <c r="E51" s="28">
        <f>+IFERROR(VLOOKUP(A51,TB31032020!$A$11:$C$415,2,0),0)</f>
        <v>3442</v>
      </c>
      <c r="F51" s="28">
        <v>0</v>
      </c>
      <c r="G51" s="28">
        <f t="shared" si="5"/>
        <v>3442</v>
      </c>
      <c r="H51" s="28">
        <f>+IFERROR(VLOOKUP(A51,TB31032020!$A$11:$C$415,3,0),0)</f>
        <v>0</v>
      </c>
      <c r="I51" s="28">
        <v>0</v>
      </c>
      <c r="J51" s="28">
        <f t="shared" si="6"/>
        <v>0</v>
      </c>
      <c r="K51" s="28">
        <f>+IFERROR(VLOOKUP(A51,TB310320119!$A$11:$C$422,2,0),0)</f>
        <v>3166</v>
      </c>
      <c r="L51" s="28">
        <v>0</v>
      </c>
      <c r="M51" s="28">
        <f t="shared" si="2"/>
        <v>3166</v>
      </c>
      <c r="N51" s="28">
        <f>+IFERROR(VLOOKUP(A51,TB310320119!$A$11:$C$421,3,0),0)</f>
        <v>0</v>
      </c>
      <c r="O51" s="28">
        <v>0</v>
      </c>
      <c r="P51" s="28">
        <f t="shared" si="10"/>
        <v>0</v>
      </c>
      <c r="Q51" s="20">
        <f t="shared" si="4"/>
        <v>13216</v>
      </c>
    </row>
    <row r="52" spans="1:17" s="35" customFormat="1" ht="15" customHeight="1">
      <c r="A52" s="28" t="s">
        <v>596</v>
      </c>
      <c r="B52" s="28">
        <v>10</v>
      </c>
      <c r="C52" s="28" t="s">
        <v>592</v>
      </c>
      <c r="D52" s="28" t="s">
        <v>593</v>
      </c>
      <c r="E52" s="28">
        <f>+IFERROR(VLOOKUP(A52,TB31032020!$A$11:$C$415,2,0),0)</f>
        <v>56016203.549999997</v>
      </c>
      <c r="F52" s="28">
        <v>0</v>
      </c>
      <c r="G52" s="28">
        <f t="shared" si="5"/>
        <v>56016203.549999997</v>
      </c>
      <c r="H52" s="28">
        <f>+IFERROR(VLOOKUP(A52,TB31032020!$A$11:$C$415,3,0),0)</f>
        <v>0</v>
      </c>
      <c r="I52" s="28">
        <v>0</v>
      </c>
      <c r="J52" s="28">
        <f t="shared" si="6"/>
        <v>0</v>
      </c>
      <c r="K52" s="28">
        <f>+IFERROR(VLOOKUP(A52,TB310320119!$A$11:$C$422,2,0),0)</f>
        <v>55036932.399999999</v>
      </c>
      <c r="L52" s="28">
        <v>0</v>
      </c>
      <c r="M52" s="28">
        <f t="shared" si="2"/>
        <v>55036932.399999999</v>
      </c>
      <c r="N52" s="28">
        <f>+IFERROR(VLOOKUP(A52,TB310320119!$A$11:$C$421,3,0),0)</f>
        <v>0</v>
      </c>
      <c r="O52" s="28">
        <v>0</v>
      </c>
      <c r="P52" s="28">
        <f t="shared" si="10"/>
        <v>0</v>
      </c>
      <c r="Q52" s="20">
        <f t="shared" si="4"/>
        <v>222106271.90000001</v>
      </c>
    </row>
    <row r="53" spans="1:17" s="35" customFormat="1" ht="15" customHeight="1">
      <c r="A53" s="28" t="s">
        <v>54</v>
      </c>
      <c r="B53" s="46">
        <v>3</v>
      </c>
      <c r="C53" s="28" t="s">
        <v>597</v>
      </c>
      <c r="D53" s="28" t="s">
        <v>598</v>
      </c>
      <c r="E53" s="28">
        <f>+IFERROR(VLOOKUP(A53,TB31032020!$A$11:$C$415,2,0),0)</f>
        <v>0</v>
      </c>
      <c r="F53" s="28">
        <v>0</v>
      </c>
      <c r="G53" s="28">
        <f t="shared" si="5"/>
        <v>0</v>
      </c>
      <c r="H53" s="28">
        <f>+IFERROR(VLOOKUP(A53,TB31032020!$A$11:$C$415,3,0),0)</f>
        <v>20413989</v>
      </c>
      <c r="I53" s="28">
        <v>0</v>
      </c>
      <c r="J53" s="28">
        <f t="shared" si="6"/>
        <v>20413989</v>
      </c>
      <c r="K53" s="28">
        <f>+IFERROR(VLOOKUP(A53,TB310320119!$A$11:$C$422,2,0),0)</f>
        <v>0</v>
      </c>
      <c r="L53" s="28">
        <v>0</v>
      </c>
      <c r="M53" s="28">
        <f t="shared" si="2"/>
        <v>0</v>
      </c>
      <c r="N53" s="28">
        <f>+IFERROR(VLOOKUP(A53,TB310320119!$A$11:$C$421,3,0),0)</f>
        <v>20413989</v>
      </c>
      <c r="O53" s="28">
        <v>0</v>
      </c>
      <c r="P53" s="28">
        <f t="shared" si="10"/>
        <v>20413989</v>
      </c>
      <c r="Q53" s="20">
        <f t="shared" si="4"/>
        <v>81655956</v>
      </c>
    </row>
    <row r="54" spans="1:17" s="35" customFormat="1" ht="15" customHeight="1">
      <c r="A54" s="58" t="s">
        <v>56</v>
      </c>
      <c r="B54" s="28">
        <v>26</v>
      </c>
      <c r="C54" s="28" t="s">
        <v>568</v>
      </c>
      <c r="D54" s="28" t="s">
        <v>569</v>
      </c>
      <c r="E54" s="28">
        <f>+IFERROR(VLOOKUP(A54,TB31032020!$A$11:$C$415,2,0),0)</f>
        <v>6500</v>
      </c>
      <c r="F54" s="28">
        <v>0</v>
      </c>
      <c r="G54" s="28">
        <f t="shared" si="5"/>
        <v>6500</v>
      </c>
      <c r="H54" s="28">
        <f>+IFERROR(VLOOKUP(A54,TB31032020!$A$11:$C$415,3,0),0)</f>
        <v>0</v>
      </c>
      <c r="I54" s="28">
        <v>0</v>
      </c>
      <c r="J54" s="28">
        <f t="shared" si="6"/>
        <v>0</v>
      </c>
      <c r="K54" s="28">
        <f>+IFERROR(VLOOKUP(A54,TB310320119!$A$11:$C$422,2,0),0)</f>
        <v>0</v>
      </c>
      <c r="L54" s="28">
        <v>0</v>
      </c>
      <c r="M54" s="28">
        <f t="shared" si="2"/>
        <v>0</v>
      </c>
      <c r="N54" s="28">
        <f>+IFERROR(VLOOKUP(A54,TB310320119!$A$11:$C$421,3,0),0)</f>
        <v>0</v>
      </c>
      <c r="O54" s="28">
        <v>0</v>
      </c>
      <c r="P54" s="28">
        <f t="shared" si="10"/>
        <v>0</v>
      </c>
      <c r="Q54" s="20">
        <f t="shared" si="4"/>
        <v>13000</v>
      </c>
    </row>
    <row r="55" spans="1:17" s="35" customFormat="1" ht="15" customHeight="1">
      <c r="A55" s="42" t="s">
        <v>55</v>
      </c>
      <c r="B55" s="28">
        <v>26</v>
      </c>
      <c r="C55" s="28" t="s">
        <v>568</v>
      </c>
      <c r="D55" s="28" t="s">
        <v>599</v>
      </c>
      <c r="E55" s="28">
        <f>+IFERROR(VLOOKUP(A55,TB31032020!$A$11:$C$415,2,0),0)</f>
        <v>373855</v>
      </c>
      <c r="F55" s="28">
        <v>0</v>
      </c>
      <c r="G55" s="28">
        <f t="shared" si="5"/>
        <v>373855</v>
      </c>
      <c r="H55" s="28">
        <f>+IFERROR(VLOOKUP(A55,TB31032020!$A$11:$C$415,3,0),0)</f>
        <v>0</v>
      </c>
      <c r="I55" s="28">
        <v>0</v>
      </c>
      <c r="J55" s="28">
        <f t="shared" si="6"/>
        <v>0</v>
      </c>
      <c r="K55" s="28">
        <f>+IFERROR(VLOOKUP(A55,TB310320119!$A$11:$C$422,2,0),0)</f>
        <v>581423</v>
      </c>
      <c r="L55" s="28">
        <v>0</v>
      </c>
      <c r="M55" s="28">
        <f t="shared" si="2"/>
        <v>581423</v>
      </c>
      <c r="N55" s="28">
        <f>+IFERROR(VLOOKUP(A55,TB310320119!$A$11:$C$421,3,0),0)</f>
        <v>0</v>
      </c>
      <c r="O55" s="28">
        <v>0</v>
      </c>
      <c r="P55" s="28">
        <f t="shared" si="10"/>
        <v>0</v>
      </c>
      <c r="Q55" s="20">
        <f t="shared" si="4"/>
        <v>1910556</v>
      </c>
    </row>
    <row r="56" spans="1:17" s="35" customFormat="1" ht="15" customHeight="1">
      <c r="A56" s="52" t="s">
        <v>57</v>
      </c>
      <c r="B56" s="28">
        <v>26</v>
      </c>
      <c r="C56" s="28" t="s">
        <v>568</v>
      </c>
      <c r="D56" s="28" t="s">
        <v>591</v>
      </c>
      <c r="E56" s="28">
        <f>+IFERROR(VLOOKUP(A56,TB31032020!$A$11:$C$415,2,0),0)</f>
        <v>95134</v>
      </c>
      <c r="F56" s="28">
        <v>0</v>
      </c>
      <c r="G56" s="28">
        <f t="shared" si="5"/>
        <v>95134</v>
      </c>
      <c r="H56" s="28">
        <f>+IFERROR(VLOOKUP(A56,TB31032020!$A$11:$C$415,3,0),0)</f>
        <v>0</v>
      </c>
      <c r="I56" s="28">
        <v>0</v>
      </c>
      <c r="J56" s="28">
        <f t="shared" si="6"/>
        <v>0</v>
      </c>
      <c r="K56" s="28">
        <f>+IFERROR(VLOOKUP(A56,TB310320119!$A$11:$C$422,2,0),0)</f>
        <v>205186</v>
      </c>
      <c r="L56" s="28">
        <v>0</v>
      </c>
      <c r="M56" s="28">
        <f t="shared" si="2"/>
        <v>205186</v>
      </c>
      <c r="N56" s="28">
        <f>+IFERROR(VLOOKUP(A56,TB310320119!$A$11:$C$421,3,0),0)</f>
        <v>0</v>
      </c>
      <c r="O56" s="28">
        <v>0</v>
      </c>
      <c r="P56" s="28">
        <f t="shared" si="10"/>
        <v>0</v>
      </c>
      <c r="Q56" s="20">
        <f t="shared" si="4"/>
        <v>600640</v>
      </c>
    </row>
    <row r="57" spans="1:17" s="35" customFormat="1" ht="15" customHeight="1">
      <c r="A57" s="28" t="s">
        <v>58</v>
      </c>
      <c r="B57" s="28">
        <v>26</v>
      </c>
      <c r="C57" s="28" t="s">
        <v>568</v>
      </c>
      <c r="D57" s="28" t="s">
        <v>591</v>
      </c>
      <c r="E57" s="28">
        <f>+IFERROR(VLOOKUP(A57,TB31032020!$A$11:$C$415,2,0),0)</f>
        <v>64762</v>
      </c>
      <c r="F57" s="28">
        <v>0</v>
      </c>
      <c r="G57" s="28">
        <f t="shared" si="5"/>
        <v>64762</v>
      </c>
      <c r="H57" s="28">
        <f>+IFERROR(VLOOKUP(A57,TB31032020!$A$11:$C$415,3,0),0)</f>
        <v>0</v>
      </c>
      <c r="I57" s="28">
        <v>0</v>
      </c>
      <c r="J57" s="28">
        <f t="shared" si="6"/>
        <v>0</v>
      </c>
      <c r="K57" s="28">
        <f>+IFERROR(VLOOKUP(A57,TB310320119!$A$11:$C$422,2,0),0)</f>
        <v>93095</v>
      </c>
      <c r="L57" s="28">
        <v>0</v>
      </c>
      <c r="M57" s="28">
        <f t="shared" si="2"/>
        <v>93095</v>
      </c>
      <c r="N57" s="28">
        <f>+IFERROR(VLOOKUP(A57,TB310320119!$A$11:$C$421,3,0),0)</f>
        <v>0</v>
      </c>
      <c r="O57" s="28">
        <v>0</v>
      </c>
      <c r="P57" s="28">
        <f t="shared" si="10"/>
        <v>0</v>
      </c>
      <c r="Q57" s="20">
        <f t="shared" si="4"/>
        <v>315714</v>
      </c>
    </row>
    <row r="58" spans="1:17" ht="15" customHeight="1">
      <c r="A58" s="28" t="s">
        <v>600</v>
      </c>
      <c r="B58" s="28">
        <v>16</v>
      </c>
      <c r="C58" s="28" t="s">
        <v>601</v>
      </c>
      <c r="D58" s="28" t="s">
        <v>602</v>
      </c>
      <c r="E58" s="28">
        <f>+IFERROR(VLOOKUP(A58,TB31032020!$A$11:$C$415,2,0),0)</f>
        <v>234166</v>
      </c>
      <c r="F58" s="28">
        <v>0</v>
      </c>
      <c r="G58" s="28">
        <f t="shared" si="5"/>
        <v>234166</v>
      </c>
      <c r="H58" s="28">
        <f>+IFERROR(VLOOKUP(A58,TB31032020!$A$11:$C$415,3,0),0)</f>
        <v>0</v>
      </c>
      <c r="I58" s="28">
        <v>0</v>
      </c>
      <c r="J58" s="28">
        <f t="shared" si="6"/>
        <v>0</v>
      </c>
      <c r="K58" s="28">
        <f>+IFERROR(VLOOKUP(A58,TB310320119!$A$11:$C$422,2,0),0)</f>
        <v>83523</v>
      </c>
      <c r="L58" s="28">
        <v>0</v>
      </c>
      <c r="M58" s="28">
        <f t="shared" si="2"/>
        <v>83523</v>
      </c>
      <c r="N58" s="28">
        <f>+IFERROR(VLOOKUP(A58,TB310320119!$A$11:$C$421,3,0),0)</f>
        <v>0</v>
      </c>
      <c r="O58" s="28">
        <v>0</v>
      </c>
      <c r="P58" s="28">
        <f t="shared" si="10"/>
        <v>0</v>
      </c>
      <c r="Q58" s="20">
        <f t="shared" si="4"/>
        <v>635378</v>
      </c>
    </row>
    <row r="59" spans="1:17" ht="15" customHeight="1">
      <c r="A59" s="49" t="s">
        <v>60</v>
      </c>
      <c r="B59" s="28">
        <v>12</v>
      </c>
      <c r="C59" s="28" t="s">
        <v>566</v>
      </c>
      <c r="D59" s="47" t="s">
        <v>616</v>
      </c>
      <c r="E59" s="28">
        <f>+IFERROR(VLOOKUP(A59,TB31032020!$A$11:$C$415,2,0),0)</f>
        <v>0</v>
      </c>
      <c r="F59" s="28">
        <v>0</v>
      </c>
      <c r="G59" s="28">
        <f t="shared" si="5"/>
        <v>0</v>
      </c>
      <c r="H59" s="28">
        <f>+IFERROR(VLOOKUP(A59,TB31032020!$A$11:$C$415,3,0),0)</f>
        <v>0</v>
      </c>
      <c r="I59" s="28">
        <v>0</v>
      </c>
      <c r="J59" s="28">
        <f t="shared" si="6"/>
        <v>0</v>
      </c>
      <c r="K59" s="28">
        <f>+IFERROR(VLOOKUP(A59,TB310320119!$A$11:$C$422,2,0),0)</f>
        <v>0</v>
      </c>
      <c r="L59" s="28">
        <v>0</v>
      </c>
      <c r="M59" s="28">
        <f t="shared" si="2"/>
        <v>0</v>
      </c>
      <c r="N59" s="28">
        <f>+IFERROR(VLOOKUP(A59,TB310320119!$A$11:$C$421,3,0),0)</f>
        <v>0</v>
      </c>
      <c r="O59" s="28">
        <v>0</v>
      </c>
      <c r="P59" s="28">
        <f t="shared" si="10"/>
        <v>0</v>
      </c>
      <c r="Q59" s="20">
        <f t="shared" si="4"/>
        <v>0</v>
      </c>
    </row>
    <row r="60" spans="1:17" ht="15" customHeight="1">
      <c r="A60" s="458" t="s">
        <v>1522</v>
      </c>
      <c r="B60" s="28">
        <v>12</v>
      </c>
      <c r="C60" s="28" t="s">
        <v>566</v>
      </c>
      <c r="D60" s="47" t="s">
        <v>616</v>
      </c>
      <c r="E60" s="28">
        <f>+IFERROR(VLOOKUP(A60,TB31032020!$A$11:$C$415,2,0),0)</f>
        <v>0</v>
      </c>
      <c r="F60" s="28">
        <v>0</v>
      </c>
      <c r="G60" s="28">
        <f t="shared" si="5"/>
        <v>0</v>
      </c>
      <c r="H60" s="28">
        <f>+IFERROR(VLOOKUP(A60,TB31032020!$A$11:$C$415,3,0),0)</f>
        <v>0</v>
      </c>
      <c r="I60" s="28">
        <v>0</v>
      </c>
      <c r="J60" s="28">
        <f t="shared" si="6"/>
        <v>0</v>
      </c>
      <c r="K60" s="28">
        <f>+IFERROR(VLOOKUP(A60,TB310320119!$A$11:$C$422,2,0),0)</f>
        <v>0</v>
      </c>
      <c r="L60" s="28">
        <v>0</v>
      </c>
      <c r="M60" s="28">
        <f t="shared" ref="M60" si="11">K60+L60</f>
        <v>0</v>
      </c>
      <c r="N60" s="28">
        <f>+IFERROR(VLOOKUP(A60,TB310320119!$A$11:$C$421,3,0),0)</f>
        <v>0</v>
      </c>
      <c r="O60" s="28">
        <v>0</v>
      </c>
      <c r="P60" s="28">
        <f t="shared" ref="P60" si="12">N60+O60</f>
        <v>0</v>
      </c>
      <c r="Q60" s="20">
        <f t="shared" ref="Q60" si="13">+SUM(E60:P60)</f>
        <v>0</v>
      </c>
    </row>
    <row r="61" spans="1:17" ht="15" customHeight="1">
      <c r="A61" s="458" t="s">
        <v>1525</v>
      </c>
      <c r="B61" s="28">
        <v>12</v>
      </c>
      <c r="C61" s="28" t="s">
        <v>566</v>
      </c>
      <c r="D61" s="47" t="s">
        <v>616</v>
      </c>
      <c r="E61" s="28">
        <f>+IFERROR(VLOOKUP(A61,TB31032020!$A$11:$C$415,2,0),0)</f>
        <v>0</v>
      </c>
      <c r="F61" s="28">
        <v>0</v>
      </c>
      <c r="G61" s="28">
        <f t="shared" si="5"/>
        <v>0</v>
      </c>
      <c r="H61" s="28">
        <f>+IFERROR(VLOOKUP(A61,TB31032020!$A$11:$C$415,3,0),0)</f>
        <v>0</v>
      </c>
      <c r="I61" s="28">
        <v>0</v>
      </c>
      <c r="J61" s="28">
        <f t="shared" si="6"/>
        <v>0</v>
      </c>
      <c r="K61" s="28">
        <f>+IFERROR(VLOOKUP(A61,TB310320119!$A$11:$C$422,2,0),0)</f>
        <v>0</v>
      </c>
      <c r="L61" s="28">
        <v>0</v>
      </c>
      <c r="M61" s="28">
        <f t="shared" ref="M61" si="14">K61+L61</f>
        <v>0</v>
      </c>
      <c r="N61" s="28">
        <f>+IFERROR(VLOOKUP(A61,TB310320119!$A$11:$C$421,3,0),0)</f>
        <v>0</v>
      </c>
      <c r="O61" s="28">
        <v>0</v>
      </c>
      <c r="P61" s="28">
        <f t="shared" ref="P61" si="15">N61+O61</f>
        <v>0</v>
      </c>
      <c r="Q61" s="20">
        <f t="shared" ref="Q61" si="16">+SUM(E61:P61)</f>
        <v>0</v>
      </c>
    </row>
    <row r="62" spans="1:17" ht="15" customHeight="1">
      <c r="A62" s="28" t="s">
        <v>438</v>
      </c>
      <c r="B62" s="28">
        <v>12</v>
      </c>
      <c r="C62" s="28" t="s">
        <v>566</v>
      </c>
      <c r="D62" s="47" t="s">
        <v>1302</v>
      </c>
      <c r="E62" s="28">
        <f>+IFERROR(VLOOKUP(A62,TB31032020!$A$11:$C$415,2,0),0)</f>
        <v>0</v>
      </c>
      <c r="F62" s="28">
        <v>0</v>
      </c>
      <c r="G62" s="28">
        <f t="shared" si="5"/>
        <v>0</v>
      </c>
      <c r="H62" s="28">
        <f>+IFERROR(VLOOKUP(A62,TB31032020!$A$11:$C$415,3,0),0)</f>
        <v>0</v>
      </c>
      <c r="I62" s="28">
        <v>0</v>
      </c>
      <c r="J62" s="28">
        <f t="shared" si="6"/>
        <v>0</v>
      </c>
      <c r="K62" s="28">
        <f>+IFERROR(VLOOKUP(A62,TB310320119!$A$11:$C$422,2,0),0)</f>
        <v>0</v>
      </c>
      <c r="L62" s="28">
        <v>0</v>
      </c>
      <c r="M62" s="28">
        <f t="shared" si="2"/>
        <v>0</v>
      </c>
      <c r="N62" s="28">
        <f>+IFERROR(VLOOKUP(A62,TB310320119!$A$11:$C$421,3,0),0)</f>
        <v>510288.85</v>
      </c>
      <c r="O62" s="28">
        <v>0</v>
      </c>
      <c r="P62" s="28">
        <f t="shared" si="10"/>
        <v>510288.85</v>
      </c>
      <c r="Q62" s="20">
        <f t="shared" si="4"/>
        <v>1020577.7</v>
      </c>
    </row>
    <row r="63" spans="1:17" ht="15" customHeight="1">
      <c r="A63" s="28" t="s">
        <v>437</v>
      </c>
      <c r="B63" s="28">
        <v>12</v>
      </c>
      <c r="C63" s="28" t="s">
        <v>566</v>
      </c>
      <c r="D63" s="47" t="s">
        <v>1302</v>
      </c>
      <c r="E63" s="28">
        <f>+IFERROR(VLOOKUP(A63,TB31032020!$A$11:$C$415,2,0),0)</f>
        <v>0</v>
      </c>
      <c r="F63" s="28">
        <v>0</v>
      </c>
      <c r="G63" s="28">
        <f t="shared" si="5"/>
        <v>0</v>
      </c>
      <c r="H63" s="28">
        <f>+IFERROR(VLOOKUP(A63,TB31032020!$A$11:$C$415,3,0),0)</f>
        <v>0</v>
      </c>
      <c r="I63" s="28">
        <v>0</v>
      </c>
      <c r="J63" s="28">
        <f t="shared" si="6"/>
        <v>0</v>
      </c>
      <c r="K63" s="28">
        <f>+IFERROR(VLOOKUP(A63,TB310320119!$A$11:$C$422,2,0),0)</f>
        <v>0</v>
      </c>
      <c r="L63" s="28">
        <v>0</v>
      </c>
      <c r="M63" s="28">
        <f t="shared" si="2"/>
        <v>0</v>
      </c>
      <c r="N63" s="28">
        <f>+IFERROR(VLOOKUP(A63,TB310320119!$A$11:$C$421,3,0),0)</f>
        <v>254778.81</v>
      </c>
      <c r="O63" s="28">
        <v>0</v>
      </c>
      <c r="P63" s="28">
        <f t="shared" si="10"/>
        <v>254778.81</v>
      </c>
      <c r="Q63" s="20">
        <f t="shared" si="4"/>
        <v>509557.62</v>
      </c>
    </row>
    <row r="64" spans="1:17" ht="15" customHeight="1">
      <c r="A64" s="49" t="s">
        <v>61</v>
      </c>
      <c r="B64" s="28">
        <v>12</v>
      </c>
      <c r="C64" s="28" t="s">
        <v>566</v>
      </c>
      <c r="D64" s="47" t="s">
        <v>1302</v>
      </c>
      <c r="E64" s="28">
        <f>+IFERROR(VLOOKUP(A64,TB31032020!$A$11:$C$415,2,0),0)</f>
        <v>1108272.6399999999</v>
      </c>
      <c r="F64" s="28">
        <v>0</v>
      </c>
      <c r="G64" s="28">
        <f t="shared" si="5"/>
        <v>1108272.6399999999</v>
      </c>
      <c r="H64" s="28">
        <f>+IFERROR(VLOOKUP(A64,TB31032020!$A$11:$C$415,3,0),0)</f>
        <v>0</v>
      </c>
      <c r="I64" s="28">
        <v>0</v>
      </c>
      <c r="J64" s="28">
        <f t="shared" si="6"/>
        <v>0</v>
      </c>
      <c r="K64" s="28">
        <f>+IFERROR(VLOOKUP(A64,TB310320119!$A$11:$C$422,2,0),0)</f>
        <v>0</v>
      </c>
      <c r="L64" s="28">
        <v>0</v>
      </c>
      <c r="M64" s="28">
        <f t="shared" si="2"/>
        <v>0</v>
      </c>
      <c r="N64" s="28">
        <f>+IFERROR(VLOOKUP(A64,TB310320119!$A$11:$C$421,3,0),0)</f>
        <v>0</v>
      </c>
      <c r="O64" s="28">
        <v>0</v>
      </c>
      <c r="P64" s="28">
        <f t="shared" si="10"/>
        <v>0</v>
      </c>
      <c r="Q64" s="20">
        <f t="shared" si="4"/>
        <v>2216545.2799999998</v>
      </c>
    </row>
    <row r="65" spans="1:17" ht="15" customHeight="1">
      <c r="A65" s="48" t="s">
        <v>439</v>
      </c>
      <c r="B65" s="28">
        <v>7</v>
      </c>
      <c r="C65" s="28" t="s">
        <v>561</v>
      </c>
      <c r="D65" s="28" t="s">
        <v>562</v>
      </c>
      <c r="E65" s="28">
        <f>+IFERROR(VLOOKUP(A65,TB31032020!$A$11:$C$415,2,0),0)</f>
        <v>0</v>
      </c>
      <c r="F65" s="28">
        <v>0</v>
      </c>
      <c r="G65" s="28">
        <f t="shared" si="5"/>
        <v>0</v>
      </c>
      <c r="H65" s="28">
        <f>+IFERROR(VLOOKUP(A65,TB31032020!$A$11:$C$415,3,0),0)</f>
        <v>0</v>
      </c>
      <c r="I65" s="28">
        <v>0</v>
      </c>
      <c r="J65" s="28">
        <f t="shared" si="6"/>
        <v>0</v>
      </c>
      <c r="K65" s="28">
        <f>+IFERROR(VLOOKUP(A65,TB310320119!$A$11:$C$422,2,0),0)</f>
        <v>0</v>
      </c>
      <c r="L65" s="28">
        <v>0</v>
      </c>
      <c r="M65" s="28">
        <f t="shared" si="2"/>
        <v>0</v>
      </c>
      <c r="N65" s="28">
        <f>+IFERROR(VLOOKUP(A65,TB310320119!$A$11:$C$421,3,0),0)</f>
        <v>35042</v>
      </c>
      <c r="O65" s="28">
        <v>0</v>
      </c>
      <c r="P65" s="28">
        <f t="shared" si="10"/>
        <v>35042</v>
      </c>
      <c r="Q65" s="20">
        <f t="shared" si="4"/>
        <v>70084</v>
      </c>
    </row>
    <row r="66" spans="1:17" ht="15" customHeight="1">
      <c r="A66" s="67" t="s">
        <v>62</v>
      </c>
      <c r="B66" s="28">
        <v>7</v>
      </c>
      <c r="C66" s="28" t="s">
        <v>561</v>
      </c>
      <c r="D66" s="28" t="s">
        <v>562</v>
      </c>
      <c r="E66" s="28">
        <f>+IFERROR(VLOOKUP(A66,TB31032020!$A$11:$C$415,2,0),0)</f>
        <v>0</v>
      </c>
      <c r="F66" s="28">
        <v>0</v>
      </c>
      <c r="G66" s="28">
        <f t="shared" si="5"/>
        <v>0</v>
      </c>
      <c r="H66" s="28">
        <f>+IFERROR(VLOOKUP(A66,TB31032020!$A$11:$C$415,3,0),0)</f>
        <v>7300</v>
      </c>
      <c r="I66" s="28">
        <v>0</v>
      </c>
      <c r="J66" s="28">
        <f t="shared" si="6"/>
        <v>7300</v>
      </c>
      <c r="K66" s="28">
        <f>+IFERROR(VLOOKUP(A66,TB310320119!$A$11:$C$422,2,0),0)</f>
        <v>0</v>
      </c>
      <c r="L66" s="28">
        <v>0</v>
      </c>
      <c r="M66" s="28">
        <f t="shared" si="2"/>
        <v>0</v>
      </c>
      <c r="N66" s="28">
        <f>+IFERROR(VLOOKUP(A66,TB310320119!$A$11:$C$421,3,0),0)</f>
        <v>0</v>
      </c>
      <c r="O66" s="28">
        <v>0</v>
      </c>
      <c r="P66" s="28">
        <f t="shared" si="10"/>
        <v>0</v>
      </c>
      <c r="Q66" s="20">
        <f t="shared" si="4"/>
        <v>14600</v>
      </c>
    </row>
    <row r="67" spans="1:17" ht="15" customHeight="1">
      <c r="A67" s="48" t="s">
        <v>64</v>
      </c>
      <c r="B67" s="28">
        <v>15</v>
      </c>
      <c r="C67" s="28" t="s">
        <v>563</v>
      </c>
      <c r="D67" s="28" t="s">
        <v>564</v>
      </c>
      <c r="E67" s="28">
        <f>+IFERROR(VLOOKUP(A67,TB31032020!$A$11:$C$415,2,0),0)</f>
        <v>2655823</v>
      </c>
      <c r="F67" s="28">
        <v>0</v>
      </c>
      <c r="G67" s="28">
        <f t="shared" si="5"/>
        <v>2655823</v>
      </c>
      <c r="H67" s="28">
        <f>+IFERROR(VLOOKUP(A67,TB31032020!$A$11:$C$415,3,0),0)</f>
        <v>0</v>
      </c>
      <c r="I67" s="28">
        <v>0</v>
      </c>
      <c r="J67" s="28">
        <f t="shared" si="6"/>
        <v>0</v>
      </c>
      <c r="K67" s="28">
        <f>+IFERROR(VLOOKUP(A67,TB310320119!$A$11:$C$422,2,0),0)</f>
        <v>1406</v>
      </c>
      <c r="L67" s="28">
        <v>0</v>
      </c>
      <c r="M67" s="28">
        <f t="shared" si="2"/>
        <v>1406</v>
      </c>
      <c r="N67" s="28">
        <f>+IFERROR(VLOOKUP(A67,TB310320119!$A$11:$C$421,3,0),0)</f>
        <v>0</v>
      </c>
      <c r="O67" s="28">
        <v>0</v>
      </c>
      <c r="P67" s="28">
        <f t="shared" si="10"/>
        <v>0</v>
      </c>
      <c r="Q67" s="20">
        <f t="shared" si="4"/>
        <v>5314458</v>
      </c>
    </row>
    <row r="68" spans="1:17" ht="15" customHeight="1">
      <c r="A68" s="48" t="s">
        <v>63</v>
      </c>
      <c r="B68" s="28">
        <v>7</v>
      </c>
      <c r="C68" s="28" t="s">
        <v>561</v>
      </c>
      <c r="D68" s="28" t="s">
        <v>561</v>
      </c>
      <c r="E68" s="28">
        <f>+IFERROR(VLOOKUP(A68,TB31032020!$A$11:$C$415,2,0),0)</f>
        <v>0</v>
      </c>
      <c r="F68" s="28">
        <v>0</v>
      </c>
      <c r="G68" s="28">
        <f t="shared" si="5"/>
        <v>0</v>
      </c>
      <c r="H68" s="28">
        <f>+IFERROR(VLOOKUP(A68,TB31032020!$A$11:$C$415,3,0),0)</f>
        <v>173652</v>
      </c>
      <c r="I68" s="28">
        <v>0</v>
      </c>
      <c r="J68" s="28">
        <f t="shared" si="6"/>
        <v>173652</v>
      </c>
      <c r="K68" s="28">
        <f>+IFERROR(VLOOKUP(A68,TB310320119!$A$11:$C$422,2,0),0)</f>
        <v>0</v>
      </c>
      <c r="L68" s="28">
        <v>0</v>
      </c>
      <c r="M68" s="28">
        <f t="shared" si="2"/>
        <v>0</v>
      </c>
      <c r="N68" s="28">
        <f>+IFERROR(VLOOKUP(A68,TB310320119!$A$11:$C$421,3,0),0)</f>
        <v>309282</v>
      </c>
      <c r="O68" s="28">
        <v>0</v>
      </c>
      <c r="P68" s="28">
        <f t="shared" si="10"/>
        <v>309282</v>
      </c>
      <c r="Q68" s="20">
        <f t="shared" si="4"/>
        <v>965868</v>
      </c>
    </row>
    <row r="69" spans="1:17" ht="15" customHeight="1">
      <c r="A69" s="43" t="s">
        <v>440</v>
      </c>
      <c r="B69" s="37">
        <v>7</v>
      </c>
      <c r="C69" s="28" t="s">
        <v>561</v>
      </c>
      <c r="D69" s="28" t="s">
        <v>561</v>
      </c>
      <c r="E69" s="28">
        <f>+IFERROR(VLOOKUP(A69,TB31032020!$A$11:$C$415,2,0),0)</f>
        <v>0</v>
      </c>
      <c r="F69" s="28">
        <v>0</v>
      </c>
      <c r="G69" s="28">
        <f t="shared" si="5"/>
        <v>0</v>
      </c>
      <c r="H69" s="28">
        <f>+IFERROR(VLOOKUP(A69,TB31032020!$A$11:$C$415,3,0),0)</f>
        <v>0</v>
      </c>
      <c r="I69" s="28">
        <v>0</v>
      </c>
      <c r="J69" s="28">
        <f t="shared" si="6"/>
        <v>0</v>
      </c>
      <c r="K69" s="28">
        <f>+IFERROR(VLOOKUP(A69,TB310320119!$A$11:$C$422,2,0),0)</f>
        <v>0</v>
      </c>
      <c r="L69" s="28">
        <v>0</v>
      </c>
      <c r="M69" s="28">
        <f t="shared" si="2"/>
        <v>0</v>
      </c>
      <c r="N69" s="28">
        <f>+IFERROR(VLOOKUP(A69,TB310320119!$A$11:$C$421,3,0),0)</f>
        <v>174048</v>
      </c>
      <c r="O69" s="28">
        <v>0</v>
      </c>
      <c r="P69" s="28">
        <f t="shared" si="10"/>
        <v>174048</v>
      </c>
      <c r="Q69" s="20">
        <f t="shared" si="4"/>
        <v>348096</v>
      </c>
    </row>
    <row r="70" spans="1:17" ht="15" customHeight="1">
      <c r="A70" s="28" t="s">
        <v>65</v>
      </c>
      <c r="B70" s="28">
        <v>15</v>
      </c>
      <c r="C70" s="28" t="s">
        <v>563</v>
      </c>
      <c r="D70" s="28" t="s">
        <v>564</v>
      </c>
      <c r="E70" s="28">
        <f>+IFERROR(VLOOKUP(A70,TB31032020!$A$11:$C$415,2,0),0)</f>
        <v>4304700</v>
      </c>
      <c r="F70" s="28">
        <v>0</v>
      </c>
      <c r="G70" s="28">
        <f t="shared" ref="G70:G134" si="17">+E70+F70</f>
        <v>4304700</v>
      </c>
      <c r="H70" s="28">
        <f>+IFERROR(VLOOKUP(A70,TB31032020!$A$11:$C$415,3,0),0)</f>
        <v>0</v>
      </c>
      <c r="I70" s="28">
        <v>0</v>
      </c>
      <c r="J70" s="28">
        <f t="shared" ref="J70:J134" si="18">+H70+I70</f>
        <v>0</v>
      </c>
      <c r="K70" s="28">
        <f>+IFERROR(VLOOKUP(A70,TB310320119!$A$11:$C$422,2,0),0)</f>
        <v>12547062</v>
      </c>
      <c r="L70" s="28">
        <v>0</v>
      </c>
      <c r="M70" s="28">
        <f t="shared" si="2"/>
        <v>12547062</v>
      </c>
      <c r="N70" s="28">
        <f>+IFERROR(VLOOKUP(A70,TB310320119!$A$11:$C$421,3,0),0)</f>
        <v>0</v>
      </c>
      <c r="O70" s="28">
        <v>0</v>
      </c>
      <c r="P70" s="28">
        <f t="shared" si="10"/>
        <v>0</v>
      </c>
      <c r="Q70" s="20">
        <f t="shared" si="4"/>
        <v>33703524</v>
      </c>
    </row>
    <row r="71" spans="1:17" ht="15" customHeight="1">
      <c r="A71" s="53" t="s">
        <v>66</v>
      </c>
      <c r="B71" s="28">
        <v>12</v>
      </c>
      <c r="C71" s="28" t="s">
        <v>566</v>
      </c>
      <c r="D71" s="28" t="s">
        <v>634</v>
      </c>
      <c r="E71" s="28">
        <f>+IFERROR(VLOOKUP(A71,TB31032020!$A$11:$C$415,2,0),0)</f>
        <v>7000</v>
      </c>
      <c r="F71" s="28">
        <v>0</v>
      </c>
      <c r="G71" s="28">
        <f t="shared" si="17"/>
        <v>7000</v>
      </c>
      <c r="H71" s="28">
        <f>+IFERROR(VLOOKUP(A71,TB31032020!$A$11:$C$415,3,0),0)</f>
        <v>0</v>
      </c>
      <c r="I71" s="28">
        <v>0</v>
      </c>
      <c r="J71" s="28">
        <f t="shared" si="18"/>
        <v>0</v>
      </c>
      <c r="K71" s="28">
        <f>+IFERROR(VLOOKUP(A71,TB310320119!$A$11:$C$422,2,0),0)</f>
        <v>0</v>
      </c>
      <c r="L71" s="28">
        <v>0</v>
      </c>
      <c r="M71" s="28">
        <f t="shared" si="2"/>
        <v>0</v>
      </c>
      <c r="N71" s="28">
        <f>+IFERROR(VLOOKUP(A71,TB310320119!$A$11:$C$421,3,0),0)</f>
        <v>0</v>
      </c>
      <c r="O71" s="28">
        <v>0</v>
      </c>
      <c r="P71" s="28">
        <f t="shared" si="10"/>
        <v>0</v>
      </c>
      <c r="Q71" s="20">
        <f t="shared" si="4"/>
        <v>14000</v>
      </c>
    </row>
    <row r="72" spans="1:17" ht="15" customHeight="1">
      <c r="A72" s="28" t="s">
        <v>67</v>
      </c>
      <c r="B72" s="28">
        <v>22</v>
      </c>
      <c r="C72" s="28" t="s">
        <v>581</v>
      </c>
      <c r="D72" s="28" t="s">
        <v>582</v>
      </c>
      <c r="E72" s="28">
        <f>+IFERROR(VLOOKUP(A72,TB31032020!$A$11:$C$415,2,0),0)</f>
        <v>41533028.75</v>
      </c>
      <c r="F72" s="28">
        <v>0</v>
      </c>
      <c r="G72" s="28">
        <f t="shared" si="17"/>
        <v>41533028.75</v>
      </c>
      <c r="H72" s="28">
        <f>+IFERROR(VLOOKUP(A72,TB31032020!$A$11:$C$415,3,0),0)</f>
        <v>0</v>
      </c>
      <c r="I72" s="28">
        <v>0</v>
      </c>
      <c r="J72" s="28">
        <f t="shared" si="18"/>
        <v>0</v>
      </c>
      <c r="K72" s="28">
        <f>+IFERROR(VLOOKUP(A72,TB310320119!$A$11:$C$422,2,0),0)</f>
        <v>46318754.25</v>
      </c>
      <c r="L72" s="28">
        <v>0</v>
      </c>
      <c r="M72" s="28">
        <f t="shared" si="2"/>
        <v>46318754.25</v>
      </c>
      <c r="N72" s="28">
        <f>+IFERROR(VLOOKUP(A72,TB310320119!$A$11:$C$421,3,0),0)</f>
        <v>0</v>
      </c>
      <c r="O72" s="28">
        <v>0</v>
      </c>
      <c r="P72" s="28">
        <f t="shared" si="10"/>
        <v>0</v>
      </c>
      <c r="Q72" s="20">
        <f t="shared" si="4"/>
        <v>175703566</v>
      </c>
    </row>
    <row r="73" spans="1:17" ht="15" customHeight="1">
      <c r="A73" s="28" t="s">
        <v>604</v>
      </c>
      <c r="B73" s="28">
        <v>15</v>
      </c>
      <c r="C73" s="28" t="s">
        <v>563</v>
      </c>
      <c r="D73" s="28" t="s">
        <v>564</v>
      </c>
      <c r="E73" s="28">
        <f>+IFERROR(VLOOKUP(A73,TB31032020!$A$11:$C$415,2,0),0)</f>
        <v>886060</v>
      </c>
      <c r="F73" s="28">
        <v>0</v>
      </c>
      <c r="G73" s="28">
        <f t="shared" si="17"/>
        <v>886060</v>
      </c>
      <c r="H73" s="28">
        <f>+IFERROR(VLOOKUP(A73,TB31032020!$A$11:$C$415,3,0),0)</f>
        <v>0</v>
      </c>
      <c r="I73" s="28">
        <v>0</v>
      </c>
      <c r="J73" s="28">
        <f t="shared" si="18"/>
        <v>0</v>
      </c>
      <c r="K73" s="28">
        <f>+IFERROR(VLOOKUP(A73,TB310320119!$A$11:$C$422,2,0),0)</f>
        <v>106645</v>
      </c>
      <c r="L73" s="28">
        <v>0</v>
      </c>
      <c r="M73" s="28">
        <f t="shared" ref="M73:M137" si="19">K73+L73</f>
        <v>106645</v>
      </c>
      <c r="N73" s="28">
        <f>+IFERROR(VLOOKUP(A73,TB310320119!$A$11:$C$421,3,0),0)</f>
        <v>0</v>
      </c>
      <c r="O73" s="28">
        <v>0</v>
      </c>
      <c r="P73" s="28">
        <f t="shared" ref="P73:P97" si="20">N73+O73</f>
        <v>0</v>
      </c>
      <c r="Q73" s="20">
        <f t="shared" ref="Q73:Q137" si="21">+SUM(E73:P73)</f>
        <v>1985410</v>
      </c>
    </row>
    <row r="74" spans="1:17" ht="15" customHeight="1">
      <c r="A74" s="37" t="s">
        <v>69</v>
      </c>
      <c r="B74" s="28">
        <v>7</v>
      </c>
      <c r="C74" s="28" t="s">
        <v>561</v>
      </c>
      <c r="D74" s="28" t="s">
        <v>561</v>
      </c>
      <c r="E74" s="28">
        <f>+IFERROR(VLOOKUP(A74,TB31032020!$A$11:$C$415,2,0),0)</f>
        <v>0</v>
      </c>
      <c r="F74" s="28">
        <v>0</v>
      </c>
      <c r="G74" s="28">
        <f t="shared" si="17"/>
        <v>0</v>
      </c>
      <c r="H74" s="28">
        <f>+IFERROR(VLOOKUP(A74,TB31032020!$A$11:$C$415,3,0),0)</f>
        <v>0</v>
      </c>
      <c r="I74" s="28">
        <v>0</v>
      </c>
      <c r="J74" s="28">
        <f t="shared" si="18"/>
        <v>0</v>
      </c>
      <c r="K74" s="28">
        <f>+IFERROR(VLOOKUP(A74,TB310320119!$A$11:$C$422,2,0),0)</f>
        <v>0</v>
      </c>
      <c r="L74" s="28">
        <v>0</v>
      </c>
      <c r="M74" s="28">
        <f t="shared" si="19"/>
        <v>0</v>
      </c>
      <c r="N74" s="28">
        <f>+IFERROR(VLOOKUP(A74,TB310320119!$A$11:$C$421,3,0),0)</f>
        <v>2404941</v>
      </c>
      <c r="O74" s="28">
        <v>0</v>
      </c>
      <c r="P74" s="28">
        <f t="shared" si="20"/>
        <v>2404941</v>
      </c>
      <c r="Q74" s="20">
        <f t="shared" si="21"/>
        <v>4809882</v>
      </c>
    </row>
    <row r="75" spans="1:17" ht="15" customHeight="1">
      <c r="A75" s="28" t="s">
        <v>70</v>
      </c>
      <c r="B75" s="28">
        <v>22</v>
      </c>
      <c r="C75" s="28" t="s">
        <v>581</v>
      </c>
      <c r="D75" s="28" t="s">
        <v>582</v>
      </c>
      <c r="E75" s="28">
        <f>+IFERROR(VLOOKUP(A75,TB31032020!$A$11:$C$415,2,0),0)</f>
        <v>48514808.600000001</v>
      </c>
      <c r="F75" s="28">
        <v>0</v>
      </c>
      <c r="G75" s="28">
        <f t="shared" si="17"/>
        <v>48514808.600000001</v>
      </c>
      <c r="H75" s="28">
        <f>+IFERROR(VLOOKUP(A75,TB31032020!$A$11:$C$415,3,0),0)</f>
        <v>0</v>
      </c>
      <c r="I75" s="28">
        <v>0</v>
      </c>
      <c r="J75" s="28">
        <f t="shared" si="18"/>
        <v>0</v>
      </c>
      <c r="K75" s="28">
        <f>+IFERROR(VLOOKUP(A75,TB310320119!$A$11:$C$422,2,0),0)</f>
        <v>36176357.159999996</v>
      </c>
      <c r="L75" s="28">
        <v>0</v>
      </c>
      <c r="M75" s="28">
        <f t="shared" si="19"/>
        <v>36176357.159999996</v>
      </c>
      <c r="N75" s="28">
        <f>+IFERROR(VLOOKUP(A75,TB310320119!$A$11:$C$421,3,0),0)</f>
        <v>0</v>
      </c>
      <c r="O75" s="28">
        <v>0</v>
      </c>
      <c r="P75" s="28">
        <f t="shared" si="20"/>
        <v>0</v>
      </c>
      <c r="Q75" s="20">
        <f t="shared" si="21"/>
        <v>169382331.51999998</v>
      </c>
    </row>
    <row r="76" spans="1:17" ht="15" customHeight="1">
      <c r="A76" s="28" t="s">
        <v>606</v>
      </c>
      <c r="B76" s="28">
        <v>26</v>
      </c>
      <c r="C76" s="28" t="s">
        <v>568</v>
      </c>
      <c r="D76" s="28" t="s">
        <v>599</v>
      </c>
      <c r="E76" s="28">
        <f>+IFERROR(VLOOKUP(A76,TB31032020!$A$11:$C$415,2,0),0)</f>
        <v>219361</v>
      </c>
      <c r="F76" s="28">
        <v>0</v>
      </c>
      <c r="G76" s="28">
        <f t="shared" si="17"/>
        <v>219361</v>
      </c>
      <c r="H76" s="28">
        <f>+IFERROR(VLOOKUP(A76,TB31032020!$A$11:$C$415,3,0),0)</f>
        <v>0</v>
      </c>
      <c r="I76" s="28">
        <v>0</v>
      </c>
      <c r="J76" s="28">
        <f t="shared" si="18"/>
        <v>0</v>
      </c>
      <c r="K76" s="28">
        <f>+IFERROR(VLOOKUP(A76,TB310320119!$A$11:$C$422,2,0),0)</f>
        <v>281138</v>
      </c>
      <c r="L76" s="28">
        <v>0</v>
      </c>
      <c r="M76" s="28">
        <f t="shared" si="19"/>
        <v>281138</v>
      </c>
      <c r="N76" s="28">
        <f>+IFERROR(VLOOKUP(A76,TB310320119!$A$11:$C$421,3,0),0)</f>
        <v>0</v>
      </c>
      <c r="O76" s="28">
        <v>0</v>
      </c>
      <c r="P76" s="28">
        <f t="shared" si="20"/>
        <v>0</v>
      </c>
      <c r="Q76" s="20">
        <f t="shared" si="21"/>
        <v>1000998</v>
      </c>
    </row>
    <row r="77" spans="1:17" ht="15" customHeight="1">
      <c r="A77" s="28" t="s">
        <v>72</v>
      </c>
      <c r="B77" s="28">
        <v>26</v>
      </c>
      <c r="C77" s="28" t="s">
        <v>568</v>
      </c>
      <c r="D77" s="28" t="s">
        <v>605</v>
      </c>
      <c r="E77" s="28">
        <f>+IFERROR(VLOOKUP(A77,TB31032020!$A$11:$C$415,2,0),0)</f>
        <v>923225</v>
      </c>
      <c r="F77" s="28">
        <v>0</v>
      </c>
      <c r="G77" s="28">
        <f t="shared" si="17"/>
        <v>923225</v>
      </c>
      <c r="H77" s="28">
        <f>+IFERROR(VLOOKUP(A77,TB31032020!$A$11:$C$415,3,0),0)</f>
        <v>0</v>
      </c>
      <c r="I77" s="28">
        <v>0</v>
      </c>
      <c r="J77" s="28">
        <f t="shared" si="18"/>
        <v>0</v>
      </c>
      <c r="K77" s="28">
        <f>+IFERROR(VLOOKUP(A77,TB310320119!$A$11:$C$422,2,0),0)</f>
        <v>539575</v>
      </c>
      <c r="L77" s="28">
        <v>0</v>
      </c>
      <c r="M77" s="28">
        <f t="shared" si="19"/>
        <v>539575</v>
      </c>
      <c r="N77" s="28">
        <f>+IFERROR(VLOOKUP(A77,TB310320119!$A$11:$C$421,3,0),0)</f>
        <v>0</v>
      </c>
      <c r="O77" s="28">
        <v>0</v>
      </c>
      <c r="P77" s="28">
        <f t="shared" si="20"/>
        <v>0</v>
      </c>
      <c r="Q77" s="20">
        <f t="shared" si="21"/>
        <v>2925600</v>
      </c>
    </row>
    <row r="78" spans="1:17" ht="15" customHeight="1">
      <c r="A78" s="28" t="s">
        <v>73</v>
      </c>
      <c r="B78" s="28">
        <v>26</v>
      </c>
      <c r="C78" s="28" t="s">
        <v>568</v>
      </c>
      <c r="D78" s="28" t="s">
        <v>605</v>
      </c>
      <c r="E78" s="28">
        <f>+IFERROR(VLOOKUP(A78,TB31032020!$A$11:$C$415,2,0),0)</f>
        <v>44460025.039999999</v>
      </c>
      <c r="F78" s="28">
        <v>0</v>
      </c>
      <c r="G78" s="28">
        <f t="shared" si="17"/>
        <v>44460025.039999999</v>
      </c>
      <c r="H78" s="28">
        <f>+IFERROR(VLOOKUP(A78,TB31032020!$A$11:$C$415,3,0),0)</f>
        <v>0</v>
      </c>
      <c r="I78" s="28">
        <v>0</v>
      </c>
      <c r="J78" s="28">
        <f t="shared" si="18"/>
        <v>0</v>
      </c>
      <c r="K78" s="28">
        <f>+IFERROR(VLOOKUP(A78,TB310320119!$A$11:$C$422,2,0),0)</f>
        <v>46577347</v>
      </c>
      <c r="L78" s="28">
        <v>0</v>
      </c>
      <c r="M78" s="28">
        <f t="shared" si="19"/>
        <v>46577347</v>
      </c>
      <c r="N78" s="28">
        <f>+IFERROR(VLOOKUP(A78,TB310320119!$A$11:$C$421,3,0),0)</f>
        <v>0</v>
      </c>
      <c r="O78" s="28">
        <v>0</v>
      </c>
      <c r="P78" s="28">
        <f t="shared" si="20"/>
        <v>0</v>
      </c>
      <c r="Q78" s="20">
        <f t="shared" si="21"/>
        <v>182074744.07999998</v>
      </c>
    </row>
    <row r="79" spans="1:17" ht="15" customHeight="1">
      <c r="A79" s="28" t="s">
        <v>75</v>
      </c>
      <c r="B79" s="28">
        <v>26</v>
      </c>
      <c r="C79" s="28" t="s">
        <v>568</v>
      </c>
      <c r="D79" s="28" t="s">
        <v>607</v>
      </c>
      <c r="E79" s="28">
        <f>+IFERROR(VLOOKUP(A79,TB31032020!$A$11:$C$415,2,0),0)</f>
        <v>1723504</v>
      </c>
      <c r="F79" s="28">
        <v>0</v>
      </c>
      <c r="G79" s="28">
        <f t="shared" si="17"/>
        <v>1723504</v>
      </c>
      <c r="H79" s="28">
        <f>+IFERROR(VLOOKUP(A79,TB31032020!$A$11:$C$415,3,0),0)</f>
        <v>0</v>
      </c>
      <c r="I79" s="28">
        <v>0</v>
      </c>
      <c r="J79" s="28">
        <f t="shared" si="18"/>
        <v>0</v>
      </c>
      <c r="K79" s="28">
        <f>+IFERROR(VLOOKUP(A79,TB310320119!$A$11:$C$422,2,0),0)</f>
        <v>3396669</v>
      </c>
      <c r="L79" s="28">
        <v>0</v>
      </c>
      <c r="M79" s="28">
        <f t="shared" si="19"/>
        <v>3396669</v>
      </c>
      <c r="N79" s="28">
        <f>+IFERROR(VLOOKUP(A79,TB310320119!$A$11:$C$421,3,0),0)</f>
        <v>0</v>
      </c>
      <c r="O79" s="28">
        <v>0</v>
      </c>
      <c r="P79" s="28">
        <f t="shared" si="20"/>
        <v>0</v>
      </c>
      <c r="Q79" s="20">
        <f t="shared" si="21"/>
        <v>10240346</v>
      </c>
    </row>
    <row r="80" spans="1:17" ht="15" customHeight="1">
      <c r="A80" s="28" t="s">
        <v>608</v>
      </c>
      <c r="B80" s="28">
        <v>26</v>
      </c>
      <c r="C80" s="28" t="s">
        <v>568</v>
      </c>
      <c r="D80" s="28" t="s">
        <v>607</v>
      </c>
      <c r="E80" s="28">
        <f>+IFERROR(VLOOKUP(A80,TB31032020!$A$11:$C$415,2,0),0)</f>
        <v>38030</v>
      </c>
      <c r="F80" s="28">
        <v>0</v>
      </c>
      <c r="G80" s="28">
        <f t="shared" si="17"/>
        <v>38030</v>
      </c>
      <c r="H80" s="28">
        <f>+IFERROR(VLOOKUP(A80,TB31032020!$A$11:$C$415,3,0),0)</f>
        <v>0</v>
      </c>
      <c r="I80" s="28">
        <v>0</v>
      </c>
      <c r="J80" s="28">
        <f t="shared" si="18"/>
        <v>0</v>
      </c>
      <c r="K80" s="28">
        <f>+IFERROR(VLOOKUP(A80,TB310320119!$A$11:$C$422,2,0),0)</f>
        <v>0</v>
      </c>
      <c r="L80" s="28">
        <v>0</v>
      </c>
      <c r="M80" s="28">
        <f t="shared" si="19"/>
        <v>0</v>
      </c>
      <c r="N80" s="28">
        <f>+IFERROR(VLOOKUP(A80,TB310320119!$A$11:$C$421,3,0),0)</f>
        <v>0</v>
      </c>
      <c r="O80" s="28">
        <v>0</v>
      </c>
      <c r="P80" s="28">
        <f t="shared" si="20"/>
        <v>0</v>
      </c>
      <c r="Q80" s="20">
        <f t="shared" si="21"/>
        <v>76060</v>
      </c>
    </row>
    <row r="81" spans="1:17" ht="15" customHeight="1">
      <c r="A81" s="28" t="s">
        <v>76</v>
      </c>
      <c r="B81" s="28">
        <v>10</v>
      </c>
      <c r="C81" s="28" t="s">
        <v>592</v>
      </c>
      <c r="D81" s="28" t="s">
        <v>593</v>
      </c>
      <c r="E81" s="28">
        <f>+IFERROR(VLOOKUP(A81,TB31032020!$A$11:$C$415,2,0),0)</f>
        <v>1057200.7</v>
      </c>
      <c r="F81" s="28">
        <v>0</v>
      </c>
      <c r="G81" s="28">
        <f t="shared" si="17"/>
        <v>1057200.7</v>
      </c>
      <c r="H81" s="28">
        <f>+IFERROR(VLOOKUP(A81,TB31032020!$A$11:$C$415,3,0),0)</f>
        <v>0</v>
      </c>
      <c r="I81" s="28">
        <v>0</v>
      </c>
      <c r="J81" s="28">
        <f t="shared" si="18"/>
        <v>0</v>
      </c>
      <c r="K81" s="28">
        <f>+IFERROR(VLOOKUP(A81,TB310320119!$A$11:$C$422,2,0),0)</f>
        <v>1057200.7</v>
      </c>
      <c r="L81" s="28">
        <v>0</v>
      </c>
      <c r="M81" s="28">
        <f t="shared" si="19"/>
        <v>1057200.7</v>
      </c>
      <c r="N81" s="28">
        <f>+IFERROR(VLOOKUP(A81,TB310320119!$A$11:$C$421,3,0),0)</f>
        <v>0</v>
      </c>
      <c r="O81" s="28">
        <v>0</v>
      </c>
      <c r="P81" s="28">
        <f t="shared" si="20"/>
        <v>0</v>
      </c>
      <c r="Q81" s="20">
        <f t="shared" si="21"/>
        <v>4228802.8</v>
      </c>
    </row>
    <row r="82" spans="1:17" ht="15" customHeight="1">
      <c r="A82" s="28" t="s">
        <v>77</v>
      </c>
      <c r="B82" s="28">
        <v>26</v>
      </c>
      <c r="C82" s="28" t="s">
        <v>568</v>
      </c>
      <c r="D82" s="50" t="s">
        <v>609</v>
      </c>
      <c r="E82" s="28">
        <f>+IFERROR(VLOOKUP(A82,TB31032020!$A$11:$C$415,2,0),0)</f>
        <v>7000</v>
      </c>
      <c r="F82" s="28">
        <v>0</v>
      </c>
      <c r="G82" s="28">
        <f t="shared" si="17"/>
        <v>7000</v>
      </c>
      <c r="H82" s="28">
        <f>+IFERROR(VLOOKUP(A82,TB31032020!$A$11:$C$415,3,0),0)</f>
        <v>0</v>
      </c>
      <c r="I82" s="28">
        <v>0</v>
      </c>
      <c r="J82" s="28">
        <f t="shared" si="18"/>
        <v>0</v>
      </c>
      <c r="K82" s="28">
        <f>+IFERROR(VLOOKUP(A82,TB310320119!$A$11:$C$422,2,0),0)</f>
        <v>71000</v>
      </c>
      <c r="L82" s="28">
        <v>0</v>
      </c>
      <c r="M82" s="28">
        <f t="shared" si="19"/>
        <v>71000</v>
      </c>
      <c r="N82" s="28">
        <f>+IFERROR(VLOOKUP(A82,TB310320119!$A$11:$C$421,3,0),0)</f>
        <v>0</v>
      </c>
      <c r="O82" s="28">
        <v>0</v>
      </c>
      <c r="P82" s="28">
        <f t="shared" si="20"/>
        <v>0</v>
      </c>
      <c r="Q82" s="20">
        <f t="shared" si="21"/>
        <v>156000</v>
      </c>
    </row>
    <row r="83" spans="1:17" ht="15" customHeight="1">
      <c r="A83" s="28" t="s">
        <v>78</v>
      </c>
      <c r="B83" s="28">
        <v>17</v>
      </c>
      <c r="C83" s="28" t="s">
        <v>572</v>
      </c>
      <c r="D83" s="28" t="s">
        <v>573</v>
      </c>
      <c r="E83" s="28">
        <f>+IFERROR(VLOOKUP(A83,TB31032020!$A$11:$C$415,2,0),0)</f>
        <v>42915.89</v>
      </c>
      <c r="F83" s="28">
        <v>0</v>
      </c>
      <c r="G83" s="28">
        <f t="shared" si="17"/>
        <v>42915.89</v>
      </c>
      <c r="H83" s="28">
        <f>+IFERROR(VLOOKUP(A83,TB31032020!$A$11:$C$415,3,0),0)</f>
        <v>0</v>
      </c>
      <c r="I83" s="28">
        <v>0</v>
      </c>
      <c r="J83" s="28">
        <f t="shared" si="18"/>
        <v>0</v>
      </c>
      <c r="K83" s="28">
        <f>+IFERROR(VLOOKUP(A83,TB310320119!$A$11:$C$422,2,0),0)</f>
        <v>42915.89</v>
      </c>
      <c r="L83" s="28">
        <v>0</v>
      </c>
      <c r="M83" s="28">
        <f t="shared" si="19"/>
        <v>42915.89</v>
      </c>
      <c r="N83" s="28">
        <f>+IFERROR(VLOOKUP(A83,TB310320119!$A$11:$C$421,3,0),0)</f>
        <v>0</v>
      </c>
      <c r="O83" s="28">
        <v>0</v>
      </c>
      <c r="P83" s="28">
        <f t="shared" si="20"/>
        <v>0</v>
      </c>
      <c r="Q83" s="20">
        <f t="shared" si="21"/>
        <v>171663.56</v>
      </c>
    </row>
    <row r="84" spans="1:17" ht="15" customHeight="1">
      <c r="A84" s="48" t="s">
        <v>79</v>
      </c>
      <c r="B84" s="28">
        <v>8</v>
      </c>
      <c r="C84" s="28" t="s">
        <v>585</v>
      </c>
      <c r="D84" s="28" t="s">
        <v>603</v>
      </c>
      <c r="E84" s="28">
        <f>+IFERROR(VLOOKUP(A84,TB31032020!$A$11:$C$415,2,0),0)</f>
        <v>0</v>
      </c>
      <c r="F84" s="28">
        <v>0</v>
      </c>
      <c r="G84" s="28">
        <f t="shared" si="17"/>
        <v>0</v>
      </c>
      <c r="H84" s="28">
        <f>+IFERROR(VLOOKUP(A84,TB31032020!$A$11:$C$415,3,0),0)</f>
        <v>21838</v>
      </c>
      <c r="I84" s="28">
        <v>0</v>
      </c>
      <c r="J84" s="28">
        <f t="shared" si="18"/>
        <v>21838</v>
      </c>
      <c r="K84" s="28">
        <f>+IFERROR(VLOOKUP(A84,TB310320119!$A$11:$C$422,2,0),0)</f>
        <v>0</v>
      </c>
      <c r="L84" s="28">
        <v>0</v>
      </c>
      <c r="M84" s="28">
        <f t="shared" si="19"/>
        <v>0</v>
      </c>
      <c r="N84" s="28">
        <f>+IFERROR(VLOOKUP(A84,TB310320119!$A$11:$C$421,3,0),0)</f>
        <v>34626</v>
      </c>
      <c r="O84" s="28">
        <v>0</v>
      </c>
      <c r="P84" s="28">
        <f t="shared" si="20"/>
        <v>34626</v>
      </c>
      <c r="Q84" s="20">
        <f t="shared" si="21"/>
        <v>112928</v>
      </c>
    </row>
    <row r="85" spans="1:17" ht="15" customHeight="1">
      <c r="A85" s="28" t="s">
        <v>610</v>
      </c>
      <c r="B85" s="28">
        <v>8</v>
      </c>
      <c r="C85" s="28" t="s">
        <v>585</v>
      </c>
      <c r="D85" s="28" t="s">
        <v>603</v>
      </c>
      <c r="E85" s="28">
        <f>+IFERROR(VLOOKUP(A85,TB31032020!$A$11:$C$415,2,0),0)</f>
        <v>0</v>
      </c>
      <c r="F85" s="28">
        <v>0</v>
      </c>
      <c r="G85" s="28">
        <f t="shared" si="17"/>
        <v>0</v>
      </c>
      <c r="H85" s="28">
        <f>+IFERROR(VLOOKUP(A85,TB31032020!$A$11:$C$415,3,0),0)</f>
        <v>184366</v>
      </c>
      <c r="I85" s="28">
        <v>0</v>
      </c>
      <c r="J85" s="28">
        <f t="shared" si="18"/>
        <v>184366</v>
      </c>
      <c r="K85" s="28">
        <f>+IFERROR(VLOOKUP(A85,TB310320119!$A$11:$C$422,2,0),0)</f>
        <v>0</v>
      </c>
      <c r="L85" s="28">
        <v>0</v>
      </c>
      <c r="M85" s="28">
        <f t="shared" si="19"/>
        <v>0</v>
      </c>
      <c r="N85" s="28">
        <f>+IFERROR(VLOOKUP(A85,TB310320119!$A$11:$C$421,3,0),0)</f>
        <v>186660</v>
      </c>
      <c r="O85" s="28">
        <v>0</v>
      </c>
      <c r="P85" s="28">
        <f t="shared" si="20"/>
        <v>186660</v>
      </c>
      <c r="Q85" s="20">
        <f t="shared" si="21"/>
        <v>742052</v>
      </c>
    </row>
    <row r="86" spans="1:17" ht="15" customHeight="1">
      <c r="A86" s="28" t="s">
        <v>611</v>
      </c>
      <c r="B86" s="28">
        <v>26</v>
      </c>
      <c r="C86" s="28" t="s">
        <v>568</v>
      </c>
      <c r="D86" s="28" t="s">
        <v>612</v>
      </c>
      <c r="E86" s="28">
        <f>+IFERROR(VLOOKUP(A86,TB31032020!$A$11:$C$415,2,0),0)</f>
        <v>28640</v>
      </c>
      <c r="F86" s="28">
        <v>0</v>
      </c>
      <c r="G86" s="28">
        <f t="shared" si="17"/>
        <v>28640</v>
      </c>
      <c r="H86" s="28">
        <f>+IFERROR(VLOOKUP(A86,TB31032020!$A$11:$C$415,3,0),0)</f>
        <v>0</v>
      </c>
      <c r="I86" s="28">
        <v>0</v>
      </c>
      <c r="J86" s="28">
        <f t="shared" si="18"/>
        <v>0</v>
      </c>
      <c r="K86" s="28">
        <f>+IFERROR(VLOOKUP(A86,TB310320119!$A$11:$C$422,2,0),0)</f>
        <v>52350</v>
      </c>
      <c r="L86" s="28">
        <v>0</v>
      </c>
      <c r="M86" s="28">
        <f t="shared" si="19"/>
        <v>52350</v>
      </c>
      <c r="N86" s="28">
        <f>+IFERROR(VLOOKUP(A86,TB310320119!$A$11:$C$421,3,0),0)</f>
        <v>0</v>
      </c>
      <c r="O86" s="28">
        <v>0</v>
      </c>
      <c r="P86" s="28">
        <f t="shared" si="20"/>
        <v>0</v>
      </c>
      <c r="Q86" s="20">
        <f t="shared" si="21"/>
        <v>161980</v>
      </c>
    </row>
    <row r="87" spans="1:17" ht="15" customHeight="1">
      <c r="A87" s="28" t="s">
        <v>613</v>
      </c>
      <c r="B87" s="28">
        <v>26</v>
      </c>
      <c r="C87" s="28" t="s">
        <v>568</v>
      </c>
      <c r="D87" s="28" t="s">
        <v>612</v>
      </c>
      <c r="E87" s="28">
        <f>+IFERROR(VLOOKUP(A87,TB31032020!$A$11:$C$415,2,0),0)</f>
        <v>45845</v>
      </c>
      <c r="F87" s="28">
        <v>0</v>
      </c>
      <c r="G87" s="28">
        <f t="shared" si="17"/>
        <v>45845</v>
      </c>
      <c r="H87" s="28">
        <f>+IFERROR(VLOOKUP(A87,TB31032020!$A$11:$C$415,3,0),0)</f>
        <v>0</v>
      </c>
      <c r="I87" s="28">
        <v>0</v>
      </c>
      <c r="J87" s="28">
        <f t="shared" si="18"/>
        <v>0</v>
      </c>
      <c r="K87" s="28">
        <f>+IFERROR(VLOOKUP(A87,TB310320119!$A$11:$C$422,2,0),0)</f>
        <v>66840</v>
      </c>
      <c r="L87" s="28">
        <v>0</v>
      </c>
      <c r="M87" s="28">
        <f t="shared" si="19"/>
        <v>66840</v>
      </c>
      <c r="N87" s="28">
        <f>+IFERROR(VLOOKUP(A87,TB310320119!$A$11:$C$421,3,0),0)</f>
        <v>0</v>
      </c>
      <c r="O87" s="28">
        <v>0</v>
      </c>
      <c r="P87" s="28">
        <f t="shared" si="20"/>
        <v>0</v>
      </c>
      <c r="Q87" s="20">
        <f t="shared" si="21"/>
        <v>225370</v>
      </c>
    </row>
    <row r="88" spans="1:17" ht="15" customHeight="1">
      <c r="A88" s="51" t="s">
        <v>83</v>
      </c>
      <c r="B88" s="28">
        <v>15</v>
      </c>
      <c r="C88" s="28" t="s">
        <v>563</v>
      </c>
      <c r="D88" s="28" t="s">
        <v>564</v>
      </c>
      <c r="E88" s="28">
        <f>+IFERROR(VLOOKUP(A88,TB31032020!$A$11:$C$415,2,0),0)</f>
        <v>2786944</v>
      </c>
      <c r="F88" s="28">
        <v>0</v>
      </c>
      <c r="G88" s="28">
        <f t="shared" si="17"/>
        <v>2786944</v>
      </c>
      <c r="H88" s="28">
        <f>+IFERROR(VLOOKUP(A88,TB31032020!$A$11:$C$415,3,0),0)</f>
        <v>0</v>
      </c>
      <c r="I88" s="28">
        <v>0</v>
      </c>
      <c r="J88" s="28">
        <f t="shared" si="18"/>
        <v>0</v>
      </c>
      <c r="K88" s="28">
        <f>+IFERROR(VLOOKUP(A88,TB310320119!$A$11:$C$422,2,0),0)</f>
        <v>0</v>
      </c>
      <c r="L88" s="28">
        <v>0</v>
      </c>
      <c r="M88" s="28">
        <f t="shared" si="19"/>
        <v>0</v>
      </c>
      <c r="N88" s="28">
        <f>+IFERROR(VLOOKUP(A88,TB310320119!$A$11:$C$421,3,0),0)</f>
        <v>0</v>
      </c>
      <c r="O88" s="28">
        <v>0</v>
      </c>
      <c r="P88" s="28">
        <f t="shared" si="20"/>
        <v>0</v>
      </c>
      <c r="Q88" s="20">
        <f t="shared" si="21"/>
        <v>5573888</v>
      </c>
    </row>
    <row r="89" spans="1:17" ht="15" customHeight="1">
      <c r="A89" s="28" t="s">
        <v>614</v>
      </c>
      <c r="B89" s="28">
        <v>26</v>
      </c>
      <c r="C89" s="28" t="s">
        <v>568</v>
      </c>
      <c r="D89" s="28" t="s">
        <v>578</v>
      </c>
      <c r="E89" s="28">
        <f>+IFERROR(VLOOKUP(A89,TB31032020!$A$11:$C$415,2,0),0)</f>
        <v>60454</v>
      </c>
      <c r="F89" s="28">
        <v>0</v>
      </c>
      <c r="G89" s="28">
        <f t="shared" si="17"/>
        <v>60454</v>
      </c>
      <c r="H89" s="28">
        <f>+IFERROR(VLOOKUP(A89,TB31032020!$A$11:$C$415,3,0),0)</f>
        <v>0</v>
      </c>
      <c r="I89" s="28">
        <v>0</v>
      </c>
      <c r="J89" s="28">
        <f t="shared" si="18"/>
        <v>0</v>
      </c>
      <c r="K89" s="28">
        <f>+IFERROR(VLOOKUP(A89,TB310320119!$A$11:$C$422,2,0),0)</f>
        <v>78396.600000000006</v>
      </c>
      <c r="L89" s="28">
        <v>0</v>
      </c>
      <c r="M89" s="28">
        <f t="shared" si="19"/>
        <v>78396.600000000006</v>
      </c>
      <c r="N89" s="28">
        <f>+IFERROR(VLOOKUP(A89,TB310320119!$A$11:$C$421,3,0),0)</f>
        <v>0</v>
      </c>
      <c r="O89" s="28">
        <v>0</v>
      </c>
      <c r="P89" s="28">
        <f t="shared" si="20"/>
        <v>0</v>
      </c>
      <c r="Q89" s="20">
        <f t="shared" si="21"/>
        <v>277701.2</v>
      </c>
    </row>
    <row r="90" spans="1:17" ht="15" customHeight="1">
      <c r="A90" s="28" t="s">
        <v>441</v>
      </c>
      <c r="B90" s="28">
        <v>12</v>
      </c>
      <c r="C90" s="28" t="s">
        <v>566</v>
      </c>
      <c r="D90" s="47" t="s">
        <v>1302</v>
      </c>
      <c r="E90" s="28">
        <f>+IFERROR(VLOOKUP(A90,TB31032020!$A$11:$C$415,2,0),0)</f>
        <v>0</v>
      </c>
      <c r="F90" s="28">
        <v>0</v>
      </c>
      <c r="G90" s="28">
        <f t="shared" si="17"/>
        <v>0</v>
      </c>
      <c r="H90" s="28">
        <f>+IFERROR(VLOOKUP(A90,TB31032020!$A$11:$C$415,3,0),0)</f>
        <v>0</v>
      </c>
      <c r="I90" s="28">
        <v>0</v>
      </c>
      <c r="J90" s="28">
        <f t="shared" si="18"/>
        <v>0</v>
      </c>
      <c r="K90" s="28">
        <f>+IFERROR(VLOOKUP(A90,TB310320119!$A$11:$C$422,2,0),0)</f>
        <v>91098</v>
      </c>
      <c r="L90" s="28">
        <v>0</v>
      </c>
      <c r="M90" s="28">
        <f t="shared" si="19"/>
        <v>91098</v>
      </c>
      <c r="N90" s="28">
        <f>+IFERROR(VLOOKUP(A90,TB310320119!$A$11:$C$421,3,0),0)</f>
        <v>0</v>
      </c>
      <c r="O90" s="28">
        <v>0</v>
      </c>
      <c r="P90" s="28">
        <f t="shared" si="20"/>
        <v>0</v>
      </c>
      <c r="Q90" s="20">
        <f t="shared" si="21"/>
        <v>182196</v>
      </c>
    </row>
    <row r="91" spans="1:17" ht="15" customHeight="1">
      <c r="A91" s="58" t="s">
        <v>85</v>
      </c>
      <c r="B91" s="28">
        <v>26</v>
      </c>
      <c r="C91" s="28" t="s">
        <v>568</v>
      </c>
      <c r="D91" s="28" t="s">
        <v>569</v>
      </c>
      <c r="E91" s="28">
        <f>+IFERROR(VLOOKUP(A91,TB31032020!$A$11:$C$415,2,0),0)</f>
        <v>380250</v>
      </c>
      <c r="F91" s="28">
        <v>0</v>
      </c>
      <c r="G91" s="28">
        <f t="shared" si="17"/>
        <v>380250</v>
      </c>
      <c r="H91" s="28">
        <f>+IFERROR(VLOOKUP(A91,TB31032020!$A$11:$C$415,3,0),0)</f>
        <v>0</v>
      </c>
      <c r="I91" s="28">
        <v>0</v>
      </c>
      <c r="J91" s="28">
        <f t="shared" si="18"/>
        <v>0</v>
      </c>
      <c r="K91" s="28">
        <f>+IFERROR(VLOOKUP(A91,TB310320119!$A$11:$C$422,2,0),0)</f>
        <v>0</v>
      </c>
      <c r="L91" s="28">
        <v>0</v>
      </c>
      <c r="M91" s="28">
        <f t="shared" si="19"/>
        <v>0</v>
      </c>
      <c r="N91" s="28">
        <f>+IFERROR(VLOOKUP(A91,TB310320119!$A$11:$C$421,3,0),0)</f>
        <v>0</v>
      </c>
      <c r="O91" s="28">
        <v>0</v>
      </c>
      <c r="P91" s="28">
        <f t="shared" si="20"/>
        <v>0</v>
      </c>
      <c r="Q91" s="20">
        <f t="shared" si="21"/>
        <v>760500</v>
      </c>
    </row>
    <row r="92" spans="1:17" ht="15" customHeight="1">
      <c r="A92" s="41" t="s">
        <v>442</v>
      </c>
      <c r="B92" s="28">
        <v>12</v>
      </c>
      <c r="C92" s="28" t="s">
        <v>566</v>
      </c>
      <c r="D92" s="47" t="s">
        <v>616</v>
      </c>
      <c r="E92" s="28">
        <f>+IFERROR(VLOOKUP(A92,TB31032020!$A$11:$C$415,2,0),0)</f>
        <v>0</v>
      </c>
      <c r="F92" s="28">
        <v>0</v>
      </c>
      <c r="G92" s="28">
        <f t="shared" si="17"/>
        <v>0</v>
      </c>
      <c r="H92" s="28">
        <f>+IFERROR(VLOOKUP(A92,TB31032020!$A$11:$C$415,3,0),0)</f>
        <v>0</v>
      </c>
      <c r="I92" s="28">
        <v>0</v>
      </c>
      <c r="J92" s="28">
        <f t="shared" si="18"/>
        <v>0</v>
      </c>
      <c r="K92" s="28">
        <f>+IFERROR(VLOOKUP(A92,TB310320119!$A$11:$C$422,2,0),0)</f>
        <v>2500</v>
      </c>
      <c r="L92" s="28">
        <v>0</v>
      </c>
      <c r="M92" s="28">
        <f t="shared" si="19"/>
        <v>2500</v>
      </c>
      <c r="N92" s="28">
        <f>+IFERROR(VLOOKUP(A92,TB310320119!$A$11:$C$421,3,0),0)</f>
        <v>0</v>
      </c>
      <c r="O92" s="28">
        <v>0</v>
      </c>
      <c r="P92" s="28">
        <f t="shared" si="20"/>
        <v>0</v>
      </c>
      <c r="Q92" s="20">
        <f t="shared" si="21"/>
        <v>5000</v>
      </c>
    </row>
    <row r="93" spans="1:17" ht="15" customHeight="1">
      <c r="A93" s="28" t="s">
        <v>619</v>
      </c>
      <c r="B93" s="28">
        <v>26</v>
      </c>
      <c r="C93" s="28" t="s">
        <v>568</v>
      </c>
      <c r="D93" s="28" t="s">
        <v>569</v>
      </c>
      <c r="E93" s="28">
        <f>+IFERROR(VLOOKUP(A93,TB31032020!$A$11:$C$415,2,0),0)</f>
        <v>2500</v>
      </c>
      <c r="F93" s="28">
        <v>0</v>
      </c>
      <c r="G93" s="28">
        <f t="shared" si="17"/>
        <v>2500</v>
      </c>
      <c r="H93" s="28">
        <f>+IFERROR(VLOOKUP(A93,TB31032020!$A$11:$C$415,3,0),0)</f>
        <v>0</v>
      </c>
      <c r="I93" s="28">
        <v>0</v>
      </c>
      <c r="J93" s="28">
        <f t="shared" si="18"/>
        <v>0</v>
      </c>
      <c r="K93" s="28">
        <f>+IFERROR(VLOOKUP(A93,TB310320119!$A$11:$C$422,2,0),0)</f>
        <v>0</v>
      </c>
      <c r="L93" s="28">
        <v>0</v>
      </c>
      <c r="M93" s="28">
        <f t="shared" si="19"/>
        <v>0</v>
      </c>
      <c r="N93" s="28">
        <f>+IFERROR(VLOOKUP(A93,TB310320119!$A$11:$C$421,3,0),0)</f>
        <v>0</v>
      </c>
      <c r="O93" s="28">
        <v>0</v>
      </c>
      <c r="P93" s="28">
        <f t="shared" si="20"/>
        <v>0</v>
      </c>
      <c r="Q93" s="20">
        <f t="shared" si="21"/>
        <v>5000</v>
      </c>
    </row>
    <row r="94" spans="1:17" ht="15" customHeight="1">
      <c r="A94" s="28" t="s">
        <v>443</v>
      </c>
      <c r="B94" s="28">
        <v>17</v>
      </c>
      <c r="C94" s="28" t="s">
        <v>572</v>
      </c>
      <c r="D94" s="28" t="s">
        <v>573</v>
      </c>
      <c r="E94" s="28">
        <f>+IFERROR(VLOOKUP(A94,TB31032020!$A$11:$C$415,2,0),0)</f>
        <v>0</v>
      </c>
      <c r="F94" s="28">
        <v>0</v>
      </c>
      <c r="G94" s="28">
        <f t="shared" si="17"/>
        <v>0</v>
      </c>
      <c r="H94" s="28">
        <f>+IFERROR(VLOOKUP(A94,TB31032020!$A$11:$C$415,3,0),0)</f>
        <v>0</v>
      </c>
      <c r="I94" s="28">
        <v>0</v>
      </c>
      <c r="J94" s="28">
        <f t="shared" si="18"/>
        <v>0</v>
      </c>
      <c r="K94" s="28">
        <f>+IFERROR(VLOOKUP(A94,TB310320119!$A$11:$C$422,2,0),0)</f>
        <v>1240241</v>
      </c>
      <c r="L94" s="28">
        <v>0</v>
      </c>
      <c r="M94" s="28">
        <f t="shared" si="19"/>
        <v>1240241</v>
      </c>
      <c r="N94" s="28">
        <f>+IFERROR(VLOOKUP(A94,TB310320119!$A$11:$C$421,3,0),0)</f>
        <v>0</v>
      </c>
      <c r="O94" s="28">
        <v>0</v>
      </c>
      <c r="P94" s="28">
        <f t="shared" si="20"/>
        <v>0</v>
      </c>
      <c r="Q94" s="20">
        <f t="shared" si="21"/>
        <v>2480482</v>
      </c>
    </row>
    <row r="95" spans="1:17" ht="15" customHeight="1">
      <c r="A95" s="42" t="s">
        <v>87</v>
      </c>
      <c r="B95" s="28">
        <v>7</v>
      </c>
      <c r="C95" s="28" t="s">
        <v>561</v>
      </c>
      <c r="D95" s="28" t="s">
        <v>561</v>
      </c>
      <c r="E95" s="28">
        <f>+IFERROR(VLOOKUP(A95,TB31032020!$A$11:$C$415,2,0),0)</f>
        <v>0</v>
      </c>
      <c r="F95" s="28">
        <v>0</v>
      </c>
      <c r="G95" s="28">
        <f t="shared" si="17"/>
        <v>0</v>
      </c>
      <c r="H95" s="28">
        <f>+IFERROR(VLOOKUP(A95,TB31032020!$A$11:$C$415,3,0),0)</f>
        <v>2430503</v>
      </c>
      <c r="I95" s="28">
        <v>0</v>
      </c>
      <c r="J95" s="28">
        <f t="shared" si="18"/>
        <v>2430503</v>
      </c>
      <c r="K95" s="28">
        <f>+IFERROR(VLOOKUP(A95,TB310320119!$A$11:$C$422,2,0),0)</f>
        <v>0</v>
      </c>
      <c r="L95" s="28">
        <v>0</v>
      </c>
      <c r="M95" s="28">
        <f t="shared" si="19"/>
        <v>0</v>
      </c>
      <c r="N95" s="28">
        <f>+IFERROR(VLOOKUP(A95,TB310320119!$A$11:$C$421,3,0),0)</f>
        <v>0</v>
      </c>
      <c r="O95" s="28">
        <v>0</v>
      </c>
      <c r="P95" s="28">
        <f t="shared" si="20"/>
        <v>0</v>
      </c>
      <c r="Q95" s="20">
        <f t="shared" si="21"/>
        <v>4861006</v>
      </c>
    </row>
    <row r="96" spans="1:17" ht="15" customHeight="1">
      <c r="A96" s="28" t="s">
        <v>444</v>
      </c>
      <c r="B96" s="28">
        <v>15</v>
      </c>
      <c r="C96" s="28" t="s">
        <v>563</v>
      </c>
      <c r="D96" s="28" t="s">
        <v>564</v>
      </c>
      <c r="E96" s="28">
        <f>+IFERROR(VLOOKUP(A96,TB31032020!$A$11:$C$415,2,0),0)</f>
        <v>0</v>
      </c>
      <c r="F96" s="28">
        <v>0</v>
      </c>
      <c r="G96" s="28">
        <f t="shared" si="17"/>
        <v>0</v>
      </c>
      <c r="H96" s="28">
        <f>+IFERROR(VLOOKUP(A96,TB31032020!$A$11:$C$415,3,0),0)</f>
        <v>0</v>
      </c>
      <c r="I96" s="28">
        <v>0</v>
      </c>
      <c r="J96" s="28">
        <f t="shared" si="18"/>
        <v>0</v>
      </c>
      <c r="K96" s="28">
        <f>+IFERROR(VLOOKUP(A96,TB310320119!$A$11:$C$422,2,0),0)</f>
        <v>1730730</v>
      </c>
      <c r="L96" s="28">
        <v>0</v>
      </c>
      <c r="M96" s="28">
        <f t="shared" si="19"/>
        <v>1730730</v>
      </c>
      <c r="N96" s="28">
        <f>+IFERROR(VLOOKUP(A96,TB310320119!$A$11:$C$421,3,0),0)</f>
        <v>0</v>
      </c>
      <c r="O96" s="28">
        <v>0</v>
      </c>
      <c r="P96" s="28">
        <f t="shared" si="20"/>
        <v>0</v>
      </c>
      <c r="Q96" s="20">
        <f t="shared" si="21"/>
        <v>3461460</v>
      </c>
    </row>
    <row r="97" spans="1:17" ht="15" customHeight="1">
      <c r="A97" s="28" t="s">
        <v>88</v>
      </c>
      <c r="B97" s="28">
        <v>5</v>
      </c>
      <c r="C97" s="28" t="s">
        <v>620</v>
      </c>
      <c r="D97" s="28" t="s">
        <v>621</v>
      </c>
      <c r="E97" s="28">
        <f>+IFERROR(VLOOKUP(A97,TB31032020!$A$11:$C$415,2,0),0)</f>
        <v>0</v>
      </c>
      <c r="F97" s="28">
        <v>0</v>
      </c>
      <c r="G97" s="28">
        <f t="shared" si="17"/>
        <v>0</v>
      </c>
      <c r="H97" s="28">
        <f>+IFERROR(VLOOKUP(A97,TB31032020!$A$11:$C$415,3,0),0)</f>
        <v>20113961</v>
      </c>
      <c r="I97" s="28">
        <v>0</v>
      </c>
      <c r="J97" s="28">
        <f t="shared" si="18"/>
        <v>20113961</v>
      </c>
      <c r="K97" s="28">
        <f>+IFERROR(VLOOKUP(A97,TB310320119!$A$11:$C$422,2,0),0)</f>
        <v>0</v>
      </c>
      <c r="L97" s="28">
        <v>0</v>
      </c>
      <c r="M97" s="28">
        <f t="shared" si="19"/>
        <v>0</v>
      </c>
      <c r="N97" s="28">
        <f>+IFERROR(VLOOKUP(A97,TB310320119!$A$11:$C$421,3,0),0)</f>
        <v>24184943</v>
      </c>
      <c r="O97" s="28">
        <v>0</v>
      </c>
      <c r="P97" s="28">
        <f t="shared" si="20"/>
        <v>24184943</v>
      </c>
      <c r="Q97" s="20">
        <f t="shared" si="21"/>
        <v>88597808</v>
      </c>
    </row>
    <row r="98" spans="1:17" ht="15" customHeight="1">
      <c r="A98" s="52" t="s">
        <v>89</v>
      </c>
      <c r="B98" s="28">
        <v>12</v>
      </c>
      <c r="C98" s="28" t="s">
        <v>566</v>
      </c>
      <c r="D98" s="28" t="s">
        <v>622</v>
      </c>
      <c r="E98" s="28">
        <f>+IFERROR(VLOOKUP(A98,TB31032020!$A$11:$C$415,2,0),0)</f>
        <v>1137100</v>
      </c>
      <c r="F98" s="28">
        <v>0</v>
      </c>
      <c r="G98" s="28">
        <f t="shared" si="17"/>
        <v>1137100</v>
      </c>
      <c r="H98" s="28">
        <f>+IFERROR(VLOOKUP(A98,TB31032020!$A$11:$C$415,3,0),0)</f>
        <v>0</v>
      </c>
      <c r="I98" s="28">
        <v>0</v>
      </c>
      <c r="J98" s="28">
        <f t="shared" si="18"/>
        <v>0</v>
      </c>
      <c r="K98" s="28">
        <f>+IFERROR(VLOOKUP(A98,TB310320119!$A$11:$C$422,2,0),0)</f>
        <v>1137100</v>
      </c>
      <c r="L98" s="28">
        <v>0</v>
      </c>
      <c r="M98" s="28">
        <f t="shared" si="19"/>
        <v>1137100</v>
      </c>
      <c r="N98" s="28">
        <f>+IFERROR(VLOOKUP(A98,TB310320119!$A$11:$C$421,3,0),0)</f>
        <v>0</v>
      </c>
      <c r="O98" s="28">
        <v>0</v>
      </c>
      <c r="P98" s="28">
        <v>0</v>
      </c>
      <c r="Q98" s="20">
        <f t="shared" si="21"/>
        <v>4548400</v>
      </c>
    </row>
    <row r="99" spans="1:17" ht="15" customHeight="1">
      <c r="A99" s="28" t="s">
        <v>90</v>
      </c>
      <c r="B99" s="28">
        <v>12</v>
      </c>
      <c r="C99" s="28" t="s">
        <v>566</v>
      </c>
      <c r="D99" s="28" t="s">
        <v>622</v>
      </c>
      <c r="E99" s="28">
        <f>+IFERROR(VLOOKUP(A99,TB31032020!$A$11:$C$415,2,0),0)</f>
        <v>6800</v>
      </c>
      <c r="F99" s="28">
        <v>0</v>
      </c>
      <c r="G99" s="28">
        <f t="shared" si="17"/>
        <v>6800</v>
      </c>
      <c r="H99" s="28">
        <f>+IFERROR(VLOOKUP(A99,TB31032020!$A$11:$C$415,3,0),0)</f>
        <v>0</v>
      </c>
      <c r="I99" s="28">
        <v>0</v>
      </c>
      <c r="J99" s="28">
        <f t="shared" si="18"/>
        <v>0</v>
      </c>
      <c r="K99" s="28">
        <f>+IFERROR(VLOOKUP(A99,TB310320119!$A$11:$C$422,2,0),0)</f>
        <v>6800</v>
      </c>
      <c r="L99" s="28">
        <v>0</v>
      </c>
      <c r="M99" s="28">
        <f t="shared" si="19"/>
        <v>6800</v>
      </c>
      <c r="N99" s="28">
        <f>+IFERROR(VLOOKUP(A99,TB310320119!$A$11:$C$421,3,0),0)</f>
        <v>0</v>
      </c>
      <c r="O99" s="28">
        <v>0</v>
      </c>
      <c r="P99" s="28">
        <f>N99+O99</f>
        <v>0</v>
      </c>
      <c r="Q99" s="20">
        <f t="shared" si="21"/>
        <v>27200</v>
      </c>
    </row>
    <row r="100" spans="1:17" ht="15" customHeight="1">
      <c r="A100" s="28" t="s">
        <v>445</v>
      </c>
      <c r="B100" s="28">
        <v>13</v>
      </c>
      <c r="C100" s="28" t="s">
        <v>623</v>
      </c>
      <c r="D100" s="28" t="s">
        <v>624</v>
      </c>
      <c r="E100" s="28">
        <f>+IFERROR(VLOOKUP(A100,TB31032020!$A$11:$C$415,2,0),0)</f>
        <v>0</v>
      </c>
      <c r="F100" s="28">
        <v>0</v>
      </c>
      <c r="G100" s="28">
        <f t="shared" si="17"/>
        <v>0</v>
      </c>
      <c r="H100" s="28">
        <f>+IFERROR(VLOOKUP(A100,TB31032020!$A$11:$C$415,3,0),0)</f>
        <v>0</v>
      </c>
      <c r="I100" s="28">
        <v>0</v>
      </c>
      <c r="J100" s="28">
        <f t="shared" si="18"/>
        <v>0</v>
      </c>
      <c r="K100" s="28">
        <f>+IFERROR(VLOOKUP(A100,TB310320119!$A$11:$C$422,2,0),0)</f>
        <v>414273</v>
      </c>
      <c r="L100" s="28">
        <v>0</v>
      </c>
      <c r="M100" s="28">
        <f t="shared" si="19"/>
        <v>414273</v>
      </c>
      <c r="N100" s="28">
        <f>+IFERROR(VLOOKUP(A100,TB310320119!$A$11:$C$421,3,0),0)</f>
        <v>0</v>
      </c>
      <c r="O100" s="28">
        <v>0</v>
      </c>
      <c r="P100" s="28">
        <f>N100+O100</f>
        <v>0</v>
      </c>
      <c r="Q100" s="20">
        <f t="shared" si="21"/>
        <v>828546</v>
      </c>
    </row>
    <row r="101" spans="1:17" ht="15" customHeight="1">
      <c r="A101" s="28" t="s">
        <v>94</v>
      </c>
      <c r="B101" s="28">
        <v>18</v>
      </c>
      <c r="C101" s="28" t="s">
        <v>655</v>
      </c>
      <c r="D101" s="28" t="s">
        <v>573</v>
      </c>
      <c r="E101" s="28">
        <f>+IFERROR(VLOOKUP(A101,TB31032020!$A$11:$C$415,2,0),0)</f>
        <v>470000</v>
      </c>
      <c r="F101" s="28">
        <v>0</v>
      </c>
      <c r="G101" s="28">
        <f t="shared" si="17"/>
        <v>470000</v>
      </c>
      <c r="H101" s="28">
        <f>+IFERROR(VLOOKUP(A101,TB31032020!$A$11:$C$415,3,0),0)</f>
        <v>0</v>
      </c>
      <c r="I101" s="28">
        <v>0</v>
      </c>
      <c r="J101" s="28">
        <f t="shared" si="18"/>
        <v>0</v>
      </c>
      <c r="K101" s="28">
        <f>+IFERROR(VLOOKUP(A101,TB310320119!$A$11:$C$422,2,0),0)</f>
        <v>50000</v>
      </c>
      <c r="L101" s="28">
        <v>0</v>
      </c>
      <c r="M101" s="28">
        <f t="shared" si="19"/>
        <v>50000</v>
      </c>
      <c r="N101" s="28">
        <f>+IFERROR(VLOOKUP(A101,TB310320119!$A$11:$C$421,3,0),0)</f>
        <v>0</v>
      </c>
      <c r="O101" s="28">
        <v>0</v>
      </c>
      <c r="P101" s="28">
        <f>N101+O101</f>
        <v>0</v>
      </c>
      <c r="Q101" s="20">
        <f t="shared" si="21"/>
        <v>1040000</v>
      </c>
    </row>
    <row r="102" spans="1:17" ht="15" customHeight="1">
      <c r="A102" s="53" t="s">
        <v>95</v>
      </c>
      <c r="B102" s="28">
        <v>12</v>
      </c>
      <c r="C102" s="28" t="s">
        <v>566</v>
      </c>
      <c r="D102" s="28" t="s">
        <v>622</v>
      </c>
      <c r="E102" s="28">
        <f>+IFERROR(VLOOKUP(A102,TB31032020!$A$11:$C$415,2,0),0)</f>
        <v>248200</v>
      </c>
      <c r="F102" s="28">
        <v>0</v>
      </c>
      <c r="G102" s="28">
        <f t="shared" si="17"/>
        <v>248200</v>
      </c>
      <c r="H102" s="28">
        <f>+IFERROR(VLOOKUP(A102,TB31032020!$A$11:$C$415,3,0),0)</f>
        <v>0</v>
      </c>
      <c r="I102" s="28">
        <v>0</v>
      </c>
      <c r="J102" s="28">
        <f t="shared" si="18"/>
        <v>0</v>
      </c>
      <c r="K102" s="28">
        <f>+IFERROR(VLOOKUP(A102,TB310320119!$A$11:$C$422,2,0),0)</f>
        <v>0</v>
      </c>
      <c r="L102" s="28">
        <v>0</v>
      </c>
      <c r="M102" s="28">
        <f t="shared" si="19"/>
        <v>0</v>
      </c>
      <c r="N102" s="28">
        <f>+IFERROR(VLOOKUP(A102,TB310320119!$A$11:$C$421,3,0),0)</f>
        <v>0</v>
      </c>
      <c r="O102" s="28">
        <v>0</v>
      </c>
      <c r="P102" s="28">
        <v>0</v>
      </c>
      <c r="Q102" s="20">
        <f t="shared" si="21"/>
        <v>496400</v>
      </c>
    </row>
    <row r="103" spans="1:17" ht="15" customHeight="1">
      <c r="A103" s="54" t="s">
        <v>96</v>
      </c>
      <c r="B103" s="28">
        <v>13</v>
      </c>
      <c r="C103" s="28" t="s">
        <v>623</v>
      </c>
      <c r="D103" s="28" t="s">
        <v>624</v>
      </c>
      <c r="E103" s="28">
        <f>+IFERROR(VLOOKUP(A103,TB31032020!$A$11:$C$415,2,0),0)</f>
        <v>125000</v>
      </c>
      <c r="F103" s="28">
        <v>0</v>
      </c>
      <c r="G103" s="28">
        <f t="shared" si="17"/>
        <v>125000</v>
      </c>
      <c r="H103" s="28">
        <f>+IFERROR(VLOOKUP(A103,TB31032020!$A$11:$C$415,3,0),0)</f>
        <v>0</v>
      </c>
      <c r="I103" s="28">
        <v>0</v>
      </c>
      <c r="J103" s="28">
        <f t="shared" si="18"/>
        <v>0</v>
      </c>
      <c r="K103" s="28">
        <f>+IFERROR(VLOOKUP(A103,TB310320119!$A$11:$C$422,2,0),0)</f>
        <v>125000</v>
      </c>
      <c r="L103" s="28">
        <v>0</v>
      </c>
      <c r="M103" s="28">
        <f t="shared" si="19"/>
        <v>125000</v>
      </c>
      <c r="N103" s="28">
        <f>+IFERROR(VLOOKUP(A103,TB310320119!$A$11:$C$421,3,0),0)</f>
        <v>0</v>
      </c>
      <c r="O103" s="28">
        <v>0</v>
      </c>
      <c r="P103" s="28">
        <f t="shared" ref="P103:P169" si="22">N103+O103</f>
        <v>0</v>
      </c>
      <c r="Q103" s="20">
        <f t="shared" si="21"/>
        <v>500000</v>
      </c>
    </row>
    <row r="104" spans="1:17" ht="15" customHeight="1">
      <c r="A104" s="28" t="s">
        <v>625</v>
      </c>
      <c r="B104" s="28">
        <v>12</v>
      </c>
      <c r="C104" s="28" t="s">
        <v>566</v>
      </c>
      <c r="D104" s="28" t="s">
        <v>622</v>
      </c>
      <c r="E104" s="28">
        <f>+IFERROR(VLOOKUP(A104,TB31032020!$A$11:$C$415,2,0),0)</f>
        <v>200000</v>
      </c>
      <c r="F104" s="28">
        <v>0</v>
      </c>
      <c r="G104" s="28">
        <f t="shared" si="17"/>
        <v>200000</v>
      </c>
      <c r="H104" s="28">
        <f>+IFERROR(VLOOKUP(A104,TB31032020!$A$11:$C$415,3,0),0)</f>
        <v>0</v>
      </c>
      <c r="I104" s="28">
        <v>0</v>
      </c>
      <c r="J104" s="28">
        <f t="shared" si="18"/>
        <v>0</v>
      </c>
      <c r="K104" s="28">
        <f>+IFERROR(VLOOKUP(A104,TB310320119!$A$11:$C$422,2,0),0)</f>
        <v>200000</v>
      </c>
      <c r="L104" s="28">
        <v>0</v>
      </c>
      <c r="M104" s="28">
        <f t="shared" si="19"/>
        <v>200000</v>
      </c>
      <c r="N104" s="28">
        <f>+IFERROR(VLOOKUP(A104,TB310320119!$A$11:$C$421,3,0),0)</f>
        <v>0</v>
      </c>
      <c r="O104" s="28">
        <v>0</v>
      </c>
      <c r="P104" s="28">
        <f t="shared" si="22"/>
        <v>0</v>
      </c>
      <c r="Q104" s="20">
        <f t="shared" si="21"/>
        <v>800000</v>
      </c>
    </row>
    <row r="105" spans="1:17" ht="15" customHeight="1">
      <c r="A105" s="28" t="s">
        <v>626</v>
      </c>
      <c r="B105" s="28">
        <v>12</v>
      </c>
      <c r="C105" s="28" t="s">
        <v>566</v>
      </c>
      <c r="D105" s="28" t="s">
        <v>622</v>
      </c>
      <c r="E105" s="28">
        <f>+IFERROR(VLOOKUP(A105,TB31032020!$A$11:$C$415,2,0),0)</f>
        <v>9500</v>
      </c>
      <c r="F105" s="28">
        <v>0</v>
      </c>
      <c r="G105" s="28">
        <f t="shared" si="17"/>
        <v>9500</v>
      </c>
      <c r="H105" s="28">
        <f>+IFERROR(VLOOKUP(A105,TB31032020!$A$11:$C$415,3,0),0)</f>
        <v>0</v>
      </c>
      <c r="I105" s="28">
        <v>0</v>
      </c>
      <c r="J105" s="28">
        <f t="shared" si="18"/>
        <v>0</v>
      </c>
      <c r="K105" s="28">
        <f>+IFERROR(VLOOKUP(A105,TB310320119!$A$11:$C$422,2,0),0)</f>
        <v>9500</v>
      </c>
      <c r="L105" s="28">
        <v>0</v>
      </c>
      <c r="M105" s="28">
        <f t="shared" si="19"/>
        <v>9500</v>
      </c>
      <c r="N105" s="28">
        <f>+IFERROR(VLOOKUP(A105,TB310320119!$A$11:$C$421,3,0),0)</f>
        <v>0</v>
      </c>
      <c r="O105" s="28">
        <v>0</v>
      </c>
      <c r="P105" s="28">
        <f t="shared" si="22"/>
        <v>0</v>
      </c>
      <c r="Q105" s="20">
        <f t="shared" si="21"/>
        <v>38000</v>
      </c>
    </row>
    <row r="106" spans="1:17" ht="15" customHeight="1">
      <c r="A106" s="28" t="s">
        <v>93</v>
      </c>
      <c r="B106" s="28">
        <v>9</v>
      </c>
      <c r="C106" s="28" t="s">
        <v>627</v>
      </c>
      <c r="D106" s="28" t="s">
        <v>628</v>
      </c>
      <c r="E106" s="28">
        <f>+IFERROR(VLOOKUP(A106,TB31032020!$A$11:$C$415,2,0),0)</f>
        <v>4494616</v>
      </c>
      <c r="F106" s="28">
        <v>0</v>
      </c>
      <c r="G106" s="28">
        <f t="shared" si="17"/>
        <v>4494616</v>
      </c>
      <c r="H106" s="28">
        <f>+IFERROR(VLOOKUP(A106,TB31032020!$A$11:$C$415,3,0),0)</f>
        <v>0</v>
      </c>
      <c r="I106" s="28">
        <v>0</v>
      </c>
      <c r="J106" s="28">
        <f t="shared" si="18"/>
        <v>0</v>
      </c>
      <c r="K106" s="28">
        <f>+IFERROR(VLOOKUP(A106,TB310320119!$A$11:$C$422,2,0),0)</f>
        <v>4161624.7</v>
      </c>
      <c r="L106" s="28">
        <v>0</v>
      </c>
      <c r="M106" s="28">
        <f t="shared" si="19"/>
        <v>4161624.7</v>
      </c>
      <c r="N106" s="28">
        <f>+IFERROR(VLOOKUP(A106,TB310320119!$A$11:$C$421,3,0),0)</f>
        <v>0</v>
      </c>
      <c r="O106" s="28">
        <v>0</v>
      </c>
      <c r="P106" s="28">
        <f t="shared" si="22"/>
        <v>0</v>
      </c>
      <c r="Q106" s="20">
        <f t="shared" si="21"/>
        <v>17312481.399999999</v>
      </c>
    </row>
    <row r="107" spans="1:17" ht="15" customHeight="1">
      <c r="A107" s="28" t="s">
        <v>446</v>
      </c>
      <c r="B107" s="28">
        <v>13</v>
      </c>
      <c r="C107" s="28" t="s">
        <v>623</v>
      </c>
      <c r="D107" s="28" t="s">
        <v>624</v>
      </c>
      <c r="E107" s="28">
        <f>+IFERROR(VLOOKUP(A107,TB31032020!$A$11:$C$415,2,0),0)</f>
        <v>0</v>
      </c>
      <c r="F107" s="28">
        <v>0</v>
      </c>
      <c r="G107" s="28">
        <f t="shared" si="17"/>
        <v>0</v>
      </c>
      <c r="H107" s="28">
        <f>+IFERROR(VLOOKUP(A107,TB31032020!$A$11:$C$415,3,0),0)</f>
        <v>0</v>
      </c>
      <c r="I107" s="28">
        <v>0</v>
      </c>
      <c r="J107" s="28">
        <f t="shared" si="18"/>
        <v>0</v>
      </c>
      <c r="K107" s="28">
        <f>+IFERROR(VLOOKUP(A107,TB310320119!$A$11:$C$422,2,0),0)</f>
        <v>375000</v>
      </c>
      <c r="L107" s="28">
        <v>0</v>
      </c>
      <c r="M107" s="28">
        <f t="shared" si="19"/>
        <v>375000</v>
      </c>
      <c r="N107" s="28">
        <f>+IFERROR(VLOOKUP(A107,TB310320119!$A$11:$C$421,3,0),0)</f>
        <v>0</v>
      </c>
      <c r="O107" s="28">
        <v>0</v>
      </c>
      <c r="P107" s="28">
        <f t="shared" si="22"/>
        <v>0</v>
      </c>
      <c r="Q107" s="20">
        <f t="shared" si="21"/>
        <v>750000</v>
      </c>
    </row>
    <row r="108" spans="1:17" ht="15" customHeight="1">
      <c r="A108" s="28" t="s">
        <v>97</v>
      </c>
      <c r="B108" s="28">
        <v>10</v>
      </c>
      <c r="C108" s="28" t="s">
        <v>629</v>
      </c>
      <c r="D108" s="28" t="s">
        <v>630</v>
      </c>
      <c r="E108" s="28">
        <f>+IFERROR(VLOOKUP(A108,TB31032020!$A$11:$C$415,2,0),0)</f>
        <v>1885458</v>
      </c>
      <c r="F108" s="28">
        <v>0</v>
      </c>
      <c r="G108" s="28">
        <f t="shared" si="17"/>
        <v>1885458</v>
      </c>
      <c r="H108" s="28">
        <f>+IFERROR(VLOOKUP(A108,TB31032020!$A$11:$C$415,3,0),0)</f>
        <v>0</v>
      </c>
      <c r="I108" s="28">
        <v>0</v>
      </c>
      <c r="J108" s="28">
        <f t="shared" si="18"/>
        <v>0</v>
      </c>
      <c r="K108" s="28">
        <f>+IFERROR(VLOOKUP(A108,TB310320119!$A$11:$C$422,2,0),0)</f>
        <v>1830288</v>
      </c>
      <c r="L108" s="28">
        <v>0</v>
      </c>
      <c r="M108" s="28">
        <f t="shared" si="19"/>
        <v>1830288</v>
      </c>
      <c r="N108" s="28">
        <f>+IFERROR(VLOOKUP(A108,TB310320119!$A$11:$C$421,3,0),0)</f>
        <v>0</v>
      </c>
      <c r="O108" s="28">
        <v>0</v>
      </c>
      <c r="P108" s="28">
        <f t="shared" si="22"/>
        <v>0</v>
      </c>
      <c r="Q108" s="20">
        <f t="shared" si="21"/>
        <v>7431492</v>
      </c>
    </row>
    <row r="109" spans="1:17" ht="15" customHeight="1">
      <c r="A109" s="28" t="s">
        <v>631</v>
      </c>
      <c r="B109" s="28">
        <v>10</v>
      </c>
      <c r="C109" s="28" t="s">
        <v>629</v>
      </c>
      <c r="D109" s="28" t="s">
        <v>630</v>
      </c>
      <c r="E109" s="28">
        <f>+IFERROR(VLOOKUP(A109,TB31032020!$A$11:$C$415,2,0),0)</f>
        <v>1743151</v>
      </c>
      <c r="F109" s="28">
        <v>0</v>
      </c>
      <c r="G109" s="28">
        <f t="shared" si="17"/>
        <v>1743151</v>
      </c>
      <c r="H109" s="28">
        <f>+IFERROR(VLOOKUP(A109,TB31032020!$A$11:$C$415,3,0),0)</f>
        <v>0</v>
      </c>
      <c r="I109" s="28">
        <v>0</v>
      </c>
      <c r="J109" s="28">
        <f t="shared" si="18"/>
        <v>0</v>
      </c>
      <c r="K109" s="28">
        <f>+IFERROR(VLOOKUP(A109,TB310320119!$A$11:$C$422,2,0),0)</f>
        <v>1578365</v>
      </c>
      <c r="L109" s="28">
        <v>0</v>
      </c>
      <c r="M109" s="28">
        <f t="shared" si="19"/>
        <v>1578365</v>
      </c>
      <c r="N109" s="28">
        <f>+IFERROR(VLOOKUP(A109,TB310320119!$A$11:$C$421,3,0),0)</f>
        <v>0</v>
      </c>
      <c r="O109" s="28">
        <v>0</v>
      </c>
      <c r="P109" s="28">
        <f t="shared" si="22"/>
        <v>0</v>
      </c>
      <c r="Q109" s="20">
        <f t="shared" si="21"/>
        <v>6643032</v>
      </c>
    </row>
    <row r="110" spans="1:17" ht="15" customHeight="1">
      <c r="A110" s="28" t="s">
        <v>632</v>
      </c>
      <c r="B110" s="28">
        <v>10</v>
      </c>
      <c r="C110" s="28" t="s">
        <v>629</v>
      </c>
      <c r="D110" s="28" t="s">
        <v>630</v>
      </c>
      <c r="E110" s="28">
        <f>+IFERROR(VLOOKUP(A110,TB31032020!$A$11:$C$415,2,0),0)</f>
        <v>92736</v>
      </c>
      <c r="F110" s="28">
        <v>0</v>
      </c>
      <c r="G110" s="28">
        <f t="shared" si="17"/>
        <v>92736</v>
      </c>
      <c r="H110" s="28">
        <f>+IFERROR(VLOOKUP(A110,TB31032020!$A$11:$C$415,3,0),0)</f>
        <v>0</v>
      </c>
      <c r="I110" s="28">
        <v>0</v>
      </c>
      <c r="J110" s="28">
        <f t="shared" si="18"/>
        <v>0</v>
      </c>
      <c r="K110" s="28">
        <f>+IFERROR(VLOOKUP(A110,TB310320119!$A$11:$C$422,2,0),0)</f>
        <v>59810</v>
      </c>
      <c r="L110" s="28">
        <v>0</v>
      </c>
      <c r="M110" s="28">
        <f t="shared" si="19"/>
        <v>59810</v>
      </c>
      <c r="N110" s="28">
        <f>+IFERROR(VLOOKUP(A110,TB310320119!$A$11:$C$421,3,0),0)</f>
        <v>0</v>
      </c>
      <c r="O110" s="28">
        <v>0</v>
      </c>
      <c r="P110" s="28">
        <f t="shared" si="22"/>
        <v>0</v>
      </c>
      <c r="Q110" s="20">
        <f t="shared" si="21"/>
        <v>305092</v>
      </c>
    </row>
    <row r="111" spans="1:17" ht="15" customHeight="1">
      <c r="A111" s="28" t="s">
        <v>100</v>
      </c>
      <c r="B111" s="28">
        <v>10</v>
      </c>
      <c r="C111" s="28" t="s">
        <v>629</v>
      </c>
      <c r="D111" s="28" t="s">
        <v>630</v>
      </c>
      <c r="E111" s="28">
        <f>+IFERROR(VLOOKUP(A111,TB31032020!$A$11:$C$415,2,0),0)</f>
        <v>57979</v>
      </c>
      <c r="F111" s="28">
        <v>0</v>
      </c>
      <c r="G111" s="28">
        <f t="shared" si="17"/>
        <v>57979</v>
      </c>
      <c r="H111" s="28">
        <f>+IFERROR(VLOOKUP(A111,TB31032020!$A$11:$C$415,3,0),0)</f>
        <v>0</v>
      </c>
      <c r="I111" s="28">
        <v>0</v>
      </c>
      <c r="J111" s="28">
        <f t="shared" si="18"/>
        <v>0</v>
      </c>
      <c r="K111" s="28">
        <f>+IFERROR(VLOOKUP(A111,TB310320119!$A$11:$C$422,2,0),0)</f>
        <v>115548</v>
      </c>
      <c r="L111" s="28">
        <v>0</v>
      </c>
      <c r="M111" s="28">
        <f t="shared" si="19"/>
        <v>115548</v>
      </c>
      <c r="N111" s="28">
        <f>+IFERROR(VLOOKUP(A111,TB310320119!$A$11:$C$421,3,0),0)</f>
        <v>0</v>
      </c>
      <c r="O111" s="28">
        <v>0</v>
      </c>
      <c r="P111" s="28">
        <f t="shared" si="22"/>
        <v>0</v>
      </c>
      <c r="Q111" s="20">
        <f t="shared" si="21"/>
        <v>347054</v>
      </c>
    </row>
    <row r="112" spans="1:17" ht="15" customHeight="1">
      <c r="A112" s="28" t="s">
        <v>101</v>
      </c>
      <c r="B112" s="28">
        <v>10</v>
      </c>
      <c r="C112" s="28" t="s">
        <v>629</v>
      </c>
      <c r="D112" s="28" t="s">
        <v>630</v>
      </c>
      <c r="E112" s="28">
        <f>+IFERROR(VLOOKUP(A112,TB31032020!$A$11:$C$415,2,0),0)</f>
        <v>24077</v>
      </c>
      <c r="F112" s="28">
        <v>0</v>
      </c>
      <c r="G112" s="28">
        <f t="shared" si="17"/>
        <v>24077</v>
      </c>
      <c r="H112" s="28">
        <f>+IFERROR(VLOOKUP(A112,TB31032020!$A$11:$C$415,3,0),0)</f>
        <v>0</v>
      </c>
      <c r="I112" s="28">
        <v>0</v>
      </c>
      <c r="J112" s="28">
        <f t="shared" si="18"/>
        <v>0</v>
      </c>
      <c r="K112" s="28">
        <f>+IFERROR(VLOOKUP(A112,TB310320119!$A$11:$C$422,2,0),0)</f>
        <v>23569</v>
      </c>
      <c r="L112" s="28">
        <v>0</v>
      </c>
      <c r="M112" s="28">
        <f t="shared" si="19"/>
        <v>23569</v>
      </c>
      <c r="N112" s="28">
        <f>+IFERROR(VLOOKUP(A112,TB310320119!$A$11:$C$421,3,0),0)</f>
        <v>0</v>
      </c>
      <c r="O112" s="28">
        <v>0</v>
      </c>
      <c r="P112" s="28">
        <f t="shared" si="22"/>
        <v>0</v>
      </c>
      <c r="Q112" s="20">
        <f t="shared" si="21"/>
        <v>95292</v>
      </c>
    </row>
    <row r="113" spans="1:17" ht="15" customHeight="1">
      <c r="A113" s="28" t="s">
        <v>633</v>
      </c>
      <c r="B113" s="28">
        <v>10</v>
      </c>
      <c r="C113" s="28" t="s">
        <v>629</v>
      </c>
      <c r="D113" s="28" t="s">
        <v>630</v>
      </c>
      <c r="E113" s="28">
        <f>+IFERROR(VLOOKUP(A113,TB31032020!$A$11:$C$415,2,0),0)</f>
        <v>13101740</v>
      </c>
      <c r="F113" s="28">
        <v>0</v>
      </c>
      <c r="G113" s="28">
        <f t="shared" si="17"/>
        <v>13101740</v>
      </c>
      <c r="H113" s="28">
        <f>+IFERROR(VLOOKUP(A113,TB31032020!$A$11:$C$415,3,0),0)</f>
        <v>0</v>
      </c>
      <c r="I113" s="28">
        <v>0</v>
      </c>
      <c r="J113" s="28">
        <f t="shared" si="18"/>
        <v>0</v>
      </c>
      <c r="K113" s="28">
        <f>+IFERROR(VLOOKUP(A113,TB310320119!$A$11:$C$422,2,0),0)</f>
        <v>12624072</v>
      </c>
      <c r="L113" s="28">
        <v>0</v>
      </c>
      <c r="M113" s="28">
        <f t="shared" si="19"/>
        <v>12624072</v>
      </c>
      <c r="N113" s="28">
        <f>+IFERROR(VLOOKUP(A113,TB310320119!$A$11:$C$421,3,0),0)</f>
        <v>0</v>
      </c>
      <c r="O113" s="28">
        <v>0</v>
      </c>
      <c r="P113" s="28">
        <f t="shared" si="22"/>
        <v>0</v>
      </c>
      <c r="Q113" s="20">
        <f t="shared" si="21"/>
        <v>51451624</v>
      </c>
    </row>
    <row r="114" spans="1:17" ht="15" customHeight="1">
      <c r="A114" s="28" t="s">
        <v>103</v>
      </c>
      <c r="B114" s="28">
        <v>10</v>
      </c>
      <c r="C114" s="28" t="s">
        <v>629</v>
      </c>
      <c r="D114" s="28" t="s">
        <v>630</v>
      </c>
      <c r="E114" s="28">
        <f>+IFERROR(VLOOKUP(A114,TB31032020!$A$11:$C$415,2,0),0)</f>
        <v>287798</v>
      </c>
      <c r="F114" s="28">
        <v>0</v>
      </c>
      <c r="G114" s="28">
        <f t="shared" si="17"/>
        <v>287798</v>
      </c>
      <c r="H114" s="28">
        <f>+IFERROR(VLOOKUP(A114,TB31032020!$A$11:$C$415,3,0),0)</f>
        <v>0</v>
      </c>
      <c r="I114" s="28">
        <v>0</v>
      </c>
      <c r="J114" s="28">
        <f t="shared" si="18"/>
        <v>0</v>
      </c>
      <c r="K114" s="28">
        <f>+IFERROR(VLOOKUP(A114,TB310320119!$A$11:$C$422,2,0),0)</f>
        <v>235948</v>
      </c>
      <c r="L114" s="28">
        <v>0</v>
      </c>
      <c r="M114" s="28">
        <f t="shared" si="19"/>
        <v>235948</v>
      </c>
      <c r="N114" s="28">
        <f>+IFERROR(VLOOKUP(A114,TB310320119!$A$11:$C$421,3,0),0)</f>
        <v>0</v>
      </c>
      <c r="O114" s="28">
        <v>0</v>
      </c>
      <c r="P114" s="28">
        <f t="shared" si="22"/>
        <v>0</v>
      </c>
      <c r="Q114" s="20">
        <f t="shared" si="21"/>
        <v>1047492</v>
      </c>
    </row>
    <row r="115" spans="1:17" ht="15" customHeight="1">
      <c r="A115" s="51" t="s">
        <v>104</v>
      </c>
      <c r="B115" s="28">
        <v>15</v>
      </c>
      <c r="C115" s="28" t="s">
        <v>563</v>
      </c>
      <c r="D115" s="28" t="s">
        <v>564</v>
      </c>
      <c r="E115" s="28">
        <f>+IFERROR(VLOOKUP(A115,TB31032020!$A$11:$C$415,2,0),0)</f>
        <v>0</v>
      </c>
      <c r="F115" s="28">
        <v>0</v>
      </c>
      <c r="G115" s="28">
        <f t="shared" si="17"/>
        <v>0</v>
      </c>
      <c r="H115" s="28">
        <f>+IFERROR(VLOOKUP(A115,TB31032020!$A$11:$C$415,3,0),0)</f>
        <v>10037</v>
      </c>
      <c r="I115" s="28">
        <v>0</v>
      </c>
      <c r="J115" s="28">
        <f t="shared" si="18"/>
        <v>10037</v>
      </c>
      <c r="K115" s="28">
        <f>+IFERROR(VLOOKUP(A115,TB310320119!$A$11:$C$422,2,0),0)</f>
        <v>0</v>
      </c>
      <c r="L115" s="28">
        <v>0</v>
      </c>
      <c r="M115" s="28">
        <f t="shared" si="19"/>
        <v>0</v>
      </c>
      <c r="N115" s="28">
        <f>+IFERROR(VLOOKUP(A115,TB310320119!$A$11:$C$421,3,0),0)</f>
        <v>0</v>
      </c>
      <c r="O115" s="28">
        <v>0</v>
      </c>
      <c r="P115" s="28">
        <f t="shared" si="22"/>
        <v>0</v>
      </c>
      <c r="Q115" s="20">
        <f t="shared" si="21"/>
        <v>20074</v>
      </c>
    </row>
    <row r="116" spans="1:17" ht="15" customHeight="1">
      <c r="A116" s="28" t="s">
        <v>448</v>
      </c>
      <c r="B116" s="28">
        <v>12</v>
      </c>
      <c r="C116" s="28" t="s">
        <v>566</v>
      </c>
      <c r="D116" s="28" t="s">
        <v>634</v>
      </c>
      <c r="E116" s="28">
        <f>+IFERROR(VLOOKUP(A116,TB31032020!$A$11:$C$415,2,0),0)</f>
        <v>0</v>
      </c>
      <c r="F116" s="28">
        <v>0</v>
      </c>
      <c r="G116" s="28">
        <f t="shared" si="17"/>
        <v>0</v>
      </c>
      <c r="H116" s="28">
        <f>+IFERROR(VLOOKUP(A116,TB31032020!$A$11:$C$415,3,0),0)</f>
        <v>0</v>
      </c>
      <c r="I116" s="28">
        <v>0</v>
      </c>
      <c r="J116" s="28">
        <f t="shared" si="18"/>
        <v>0</v>
      </c>
      <c r="K116" s="28">
        <f>+IFERROR(VLOOKUP(A116,TB310320119!$A$11:$C$422,2,0),0)</f>
        <v>7000</v>
      </c>
      <c r="L116" s="28">
        <v>0</v>
      </c>
      <c r="M116" s="28">
        <f t="shared" si="19"/>
        <v>7000</v>
      </c>
      <c r="N116" s="28">
        <f>+IFERROR(VLOOKUP(A116,TB310320119!$A$11:$C$421,3,0),0)</f>
        <v>0</v>
      </c>
      <c r="O116" s="28">
        <v>0</v>
      </c>
      <c r="P116" s="28">
        <f t="shared" si="22"/>
        <v>0</v>
      </c>
      <c r="Q116" s="20">
        <f t="shared" si="21"/>
        <v>14000</v>
      </c>
    </row>
    <row r="117" spans="1:17" ht="15" customHeight="1">
      <c r="A117" s="28" t="s">
        <v>105</v>
      </c>
      <c r="B117" s="28">
        <v>7</v>
      </c>
      <c r="C117" s="28" t="s">
        <v>561</v>
      </c>
      <c r="D117" s="28" t="s">
        <v>561</v>
      </c>
      <c r="E117" s="28">
        <f>+IFERROR(VLOOKUP(A117,TB31032020!$A$11:$C$415,2,0),0)</f>
        <v>0</v>
      </c>
      <c r="F117" s="28">
        <v>0</v>
      </c>
      <c r="G117" s="28">
        <f t="shared" si="17"/>
        <v>0</v>
      </c>
      <c r="H117" s="28">
        <f>+IFERROR(VLOOKUP(A117,TB31032020!$A$11:$C$415,3,0),0)</f>
        <v>29160</v>
      </c>
      <c r="I117" s="28">
        <v>0</v>
      </c>
      <c r="J117" s="28">
        <f t="shared" si="18"/>
        <v>29160</v>
      </c>
      <c r="K117" s="28">
        <f>+IFERROR(VLOOKUP(A117,TB310320119!$A$11:$C$422,2,0),0)</f>
        <v>0</v>
      </c>
      <c r="L117" s="28">
        <v>0</v>
      </c>
      <c r="M117" s="28">
        <f t="shared" si="19"/>
        <v>0</v>
      </c>
      <c r="N117" s="28">
        <f>+IFERROR(VLOOKUP(A117,TB310320119!$A$11:$C$421,3,0),0)</f>
        <v>0</v>
      </c>
      <c r="O117" s="28">
        <v>0</v>
      </c>
      <c r="P117" s="28">
        <f t="shared" si="22"/>
        <v>0</v>
      </c>
      <c r="Q117" s="20">
        <f t="shared" si="21"/>
        <v>58320</v>
      </c>
    </row>
    <row r="118" spans="1:17" ht="15" customHeight="1">
      <c r="A118" s="48" t="s">
        <v>449</v>
      </c>
      <c r="B118" s="28">
        <v>12</v>
      </c>
      <c r="C118" s="28" t="s">
        <v>566</v>
      </c>
      <c r="D118" s="28" t="s">
        <v>634</v>
      </c>
      <c r="E118" s="28">
        <f>+IFERROR(VLOOKUP(A118,TB31032020!$A$11:$C$415,2,0),0)</f>
        <v>0</v>
      </c>
      <c r="F118" s="28">
        <v>0</v>
      </c>
      <c r="G118" s="28">
        <f t="shared" si="17"/>
        <v>0</v>
      </c>
      <c r="H118" s="28">
        <f>+IFERROR(VLOOKUP(A118,TB31032020!$A$11:$C$415,3,0),0)</f>
        <v>0</v>
      </c>
      <c r="I118" s="28">
        <v>0</v>
      </c>
      <c r="J118" s="28">
        <f t="shared" si="18"/>
        <v>0</v>
      </c>
      <c r="K118" s="28">
        <f>+IFERROR(VLOOKUP(A118,TB310320119!$A$11:$C$422,2,0),0)</f>
        <v>5000</v>
      </c>
      <c r="L118" s="28">
        <v>0</v>
      </c>
      <c r="M118" s="28">
        <f t="shared" si="19"/>
        <v>5000</v>
      </c>
      <c r="N118" s="28">
        <f>+IFERROR(VLOOKUP(A118,TB310320119!$A$11:$C$421,3,0),0)</f>
        <v>0</v>
      </c>
      <c r="O118" s="28">
        <v>0</v>
      </c>
      <c r="P118" s="28">
        <f t="shared" si="22"/>
        <v>0</v>
      </c>
      <c r="Q118" s="20">
        <f t="shared" si="21"/>
        <v>10000</v>
      </c>
    </row>
    <row r="119" spans="1:17" ht="15" customHeight="1">
      <c r="A119" s="49" t="s">
        <v>106</v>
      </c>
      <c r="B119" s="28">
        <v>24</v>
      </c>
      <c r="C119" s="28" t="s">
        <v>579</v>
      </c>
      <c r="D119" s="28" t="s">
        <v>580</v>
      </c>
      <c r="E119" s="28">
        <f>+IFERROR(VLOOKUP(A119,TB31032020!$A$11:$C$415,2,0),0)</f>
        <v>15000</v>
      </c>
      <c r="F119" s="28">
        <v>0</v>
      </c>
      <c r="G119" s="28">
        <f t="shared" si="17"/>
        <v>15000</v>
      </c>
      <c r="H119" s="28">
        <f>+IFERROR(VLOOKUP(A119,TB31032020!$A$11:$C$415,3,0),0)</f>
        <v>0</v>
      </c>
      <c r="I119" s="28">
        <v>0</v>
      </c>
      <c r="J119" s="28">
        <f t="shared" si="18"/>
        <v>0</v>
      </c>
      <c r="K119" s="28">
        <f>+IFERROR(VLOOKUP(A119,TB310320119!$A$11:$C$422,2,0),0)</f>
        <v>0</v>
      </c>
      <c r="L119" s="28">
        <v>0</v>
      </c>
      <c r="M119" s="28">
        <f t="shared" si="19"/>
        <v>0</v>
      </c>
      <c r="N119" s="28">
        <f>+IFERROR(VLOOKUP(A119,TB310320119!$A$11:$C$421,3,0),0)</f>
        <v>0</v>
      </c>
      <c r="O119" s="28">
        <v>0</v>
      </c>
      <c r="P119" s="28">
        <f t="shared" si="22"/>
        <v>0</v>
      </c>
      <c r="Q119" s="20">
        <f t="shared" si="21"/>
        <v>30000</v>
      </c>
    </row>
    <row r="120" spans="1:17" ht="15" customHeight="1">
      <c r="A120" s="28" t="s">
        <v>107</v>
      </c>
      <c r="B120" s="28">
        <v>19</v>
      </c>
      <c r="C120" s="28" t="s">
        <v>617</v>
      </c>
      <c r="D120" s="28" t="s">
        <v>618</v>
      </c>
      <c r="E120" s="28">
        <f>+IFERROR(VLOOKUP(A120,TB31032020!$A$11:$C$415,2,0),0)</f>
        <v>30585779</v>
      </c>
      <c r="F120" s="28">
        <v>0</v>
      </c>
      <c r="G120" s="28">
        <f t="shared" si="17"/>
        <v>30585779</v>
      </c>
      <c r="H120" s="28">
        <f>+IFERROR(VLOOKUP(A120,TB31032020!$A$11:$C$415,3,0),0)</f>
        <v>0</v>
      </c>
      <c r="I120" s="28">
        <v>0</v>
      </c>
      <c r="J120" s="28">
        <f t="shared" si="18"/>
        <v>0</v>
      </c>
      <c r="K120" s="28">
        <f>+IFERROR(VLOOKUP(A120,TB310320119!$A$11:$C$422,2,0),0)</f>
        <v>28782260</v>
      </c>
      <c r="L120" s="28">
        <v>0</v>
      </c>
      <c r="M120" s="28">
        <f t="shared" si="19"/>
        <v>28782260</v>
      </c>
      <c r="N120" s="28">
        <f>+IFERROR(VLOOKUP(A120,TB310320119!$A$11:$C$421,3,0),0)</f>
        <v>0</v>
      </c>
      <c r="O120" s="28">
        <v>0</v>
      </c>
      <c r="P120" s="28">
        <f t="shared" si="22"/>
        <v>0</v>
      </c>
      <c r="Q120" s="20">
        <f t="shared" si="21"/>
        <v>118736078</v>
      </c>
    </row>
    <row r="121" spans="1:17" ht="15" customHeight="1">
      <c r="A121" s="48" t="s">
        <v>108</v>
      </c>
      <c r="B121" s="28">
        <v>7</v>
      </c>
      <c r="C121" s="28" t="s">
        <v>561</v>
      </c>
      <c r="D121" s="28" t="s">
        <v>562</v>
      </c>
      <c r="E121" s="28">
        <f>+IFERROR(VLOOKUP(A121,TB31032020!$A$11:$C$415,2,0),0)</f>
        <v>0</v>
      </c>
      <c r="F121" s="28">
        <v>0</v>
      </c>
      <c r="G121" s="28">
        <f t="shared" si="17"/>
        <v>0</v>
      </c>
      <c r="H121" s="28">
        <f>+IFERROR(VLOOKUP(A121,TB31032020!$A$11:$C$415,3,0),0)</f>
        <v>49644.76</v>
      </c>
      <c r="I121" s="28">
        <v>0</v>
      </c>
      <c r="J121" s="28">
        <f t="shared" si="18"/>
        <v>49644.76</v>
      </c>
      <c r="K121" s="28">
        <f>+IFERROR(VLOOKUP(A121,TB310320119!$A$11:$C$422,2,0),0)</f>
        <v>188929.24</v>
      </c>
      <c r="L121" s="28">
        <v>0</v>
      </c>
      <c r="M121" s="28">
        <f t="shared" si="19"/>
        <v>188929.24</v>
      </c>
      <c r="N121" s="28">
        <f>+IFERROR(VLOOKUP(A121,TB310320119!$A$11:$C$421,3,0),0)</f>
        <v>0</v>
      </c>
      <c r="O121" s="28">
        <v>0</v>
      </c>
      <c r="P121" s="28">
        <f t="shared" si="22"/>
        <v>0</v>
      </c>
      <c r="Q121" s="20">
        <f t="shared" si="21"/>
        <v>477148</v>
      </c>
    </row>
    <row r="122" spans="1:17" ht="15" customHeight="1">
      <c r="A122" s="28" t="s">
        <v>712</v>
      </c>
      <c r="B122" s="28">
        <v>8</v>
      </c>
      <c r="C122" s="28" t="s">
        <v>585</v>
      </c>
      <c r="D122" s="28" t="s">
        <v>712</v>
      </c>
      <c r="E122" s="28">
        <f>+IFERROR(VLOOKUP(A122,TB31032020!$A$11:$C$415,2,0),0)</f>
        <v>0</v>
      </c>
      <c r="F122" s="28">
        <v>0</v>
      </c>
      <c r="G122" s="28">
        <f t="shared" si="17"/>
        <v>0</v>
      </c>
      <c r="H122" s="28">
        <f>+IFERROR(VLOOKUP(A122,TB31032020!$A$11:$C$415,3,0),0)</f>
        <v>0</v>
      </c>
      <c r="I122" s="28">
        <v>0</v>
      </c>
      <c r="J122" s="28">
        <f t="shared" si="18"/>
        <v>0</v>
      </c>
      <c r="K122" s="28">
        <f>+IFERROR(VLOOKUP(A122,TB310320119!$A$11:$C$422,2,0),0)</f>
        <v>0</v>
      </c>
      <c r="L122" s="28">
        <v>0</v>
      </c>
      <c r="M122" s="28">
        <f t="shared" si="19"/>
        <v>0</v>
      </c>
      <c r="N122" s="28">
        <f>+IFERROR(VLOOKUP(A122,TB310320119!$A$11:$C$421,3,0),0)</f>
        <v>0</v>
      </c>
      <c r="O122" s="28">
        <v>192300</v>
      </c>
      <c r="P122" s="28">
        <f t="shared" si="22"/>
        <v>192300</v>
      </c>
      <c r="Q122" s="20">
        <f t="shared" si="21"/>
        <v>384600</v>
      </c>
    </row>
    <row r="123" spans="1:17" ht="15" customHeight="1">
      <c r="A123" s="28" t="s">
        <v>1978</v>
      </c>
      <c r="B123" s="28">
        <v>8</v>
      </c>
      <c r="C123" s="28" t="s">
        <v>585</v>
      </c>
      <c r="D123" s="28" t="s">
        <v>712</v>
      </c>
      <c r="E123" s="28">
        <f>+IFERROR(VLOOKUP(A123,TB31032020!$A$11:$C$415,2,0),0)</f>
        <v>0</v>
      </c>
      <c r="F123" s="28">
        <v>0</v>
      </c>
      <c r="G123" s="28">
        <f t="shared" ref="G123" si="23">+E123+F123</f>
        <v>0</v>
      </c>
      <c r="H123" s="28">
        <f>+IFERROR(VLOOKUP(A123,TB31032020!$A$11:$C$415,3,0),0)</f>
        <v>85050</v>
      </c>
      <c r="I123" s="28">
        <v>-750</v>
      </c>
      <c r="J123" s="28">
        <f t="shared" ref="J123" si="24">+H123+I123</f>
        <v>84300</v>
      </c>
      <c r="K123" s="28">
        <f>+IFERROR(VLOOKUP(A123,TB310320119!$A$11:$C$422,2,0),0)</f>
        <v>0</v>
      </c>
      <c r="L123" s="28">
        <v>0</v>
      </c>
      <c r="M123" s="28">
        <f t="shared" ref="M123" si="25">K123+L123</f>
        <v>0</v>
      </c>
      <c r="N123" s="28">
        <f>+IFERROR(VLOOKUP(A123,TB310320119!$A$11:$C$421,3,0),0)</f>
        <v>0</v>
      </c>
      <c r="O123" s="28">
        <v>0</v>
      </c>
      <c r="P123" s="28">
        <f t="shared" ref="P123" si="26">N123+O123</f>
        <v>0</v>
      </c>
      <c r="Q123" s="20">
        <f t="shared" ref="Q123" si="27">+SUM(E123:P123)</f>
        <v>168600</v>
      </c>
    </row>
    <row r="124" spans="1:17" ht="15" customHeight="1">
      <c r="A124" s="42" t="s">
        <v>109</v>
      </c>
      <c r="B124" s="28">
        <v>26</v>
      </c>
      <c r="C124" s="28" t="s">
        <v>568</v>
      </c>
      <c r="D124" s="28" t="s">
        <v>635</v>
      </c>
      <c r="E124" s="28">
        <f>+IFERROR(VLOOKUP(A124,TB31032020!$A$11:$C$415,2,0),0)</f>
        <v>13002</v>
      </c>
      <c r="F124" s="28">
        <v>0</v>
      </c>
      <c r="G124" s="28">
        <f t="shared" si="17"/>
        <v>13002</v>
      </c>
      <c r="H124" s="28">
        <f>+IFERROR(VLOOKUP(A124,TB31032020!$A$11:$C$415,3,0),0)</f>
        <v>0</v>
      </c>
      <c r="I124" s="28">
        <v>0</v>
      </c>
      <c r="J124" s="28">
        <f t="shared" si="18"/>
        <v>0</v>
      </c>
      <c r="K124" s="28">
        <f>+IFERROR(VLOOKUP(A124,TB310320119!$A$11:$C$422,2,0),0)</f>
        <v>0</v>
      </c>
      <c r="L124" s="28">
        <v>0</v>
      </c>
      <c r="M124" s="28">
        <f t="shared" si="19"/>
        <v>0</v>
      </c>
      <c r="N124" s="28">
        <f>+IFERROR(VLOOKUP(A124,TB310320119!$A$11:$C$421,3,0),0)</f>
        <v>0</v>
      </c>
      <c r="O124" s="28">
        <v>0</v>
      </c>
      <c r="P124" s="28">
        <f t="shared" si="22"/>
        <v>0</v>
      </c>
      <c r="Q124" s="20">
        <f t="shared" si="21"/>
        <v>26004</v>
      </c>
    </row>
    <row r="125" spans="1:17" ht="15" customHeight="1">
      <c r="A125" s="41" t="s">
        <v>110</v>
      </c>
      <c r="B125" s="28">
        <v>17</v>
      </c>
      <c r="C125" s="28" t="s">
        <v>572</v>
      </c>
      <c r="D125" s="28" t="s">
        <v>573</v>
      </c>
      <c r="E125" s="28">
        <f>+IFERROR(VLOOKUP(A125,TB31032020!$A$11:$C$415,2,0),0)</f>
        <v>18000</v>
      </c>
      <c r="F125" s="28">
        <v>0</v>
      </c>
      <c r="G125" s="28">
        <f t="shared" si="17"/>
        <v>18000</v>
      </c>
      <c r="H125" s="28">
        <f>+IFERROR(VLOOKUP(A125,TB31032020!$A$11:$C$415,3,0),0)</f>
        <v>0</v>
      </c>
      <c r="I125" s="28">
        <v>0</v>
      </c>
      <c r="J125" s="28">
        <f t="shared" si="18"/>
        <v>0</v>
      </c>
      <c r="K125" s="28">
        <f>+IFERROR(VLOOKUP(A125,TB310320119!$A$11:$C$422,2,0),0)</f>
        <v>0</v>
      </c>
      <c r="L125" s="28">
        <v>0</v>
      </c>
      <c r="M125" s="28">
        <f t="shared" si="19"/>
        <v>0</v>
      </c>
      <c r="N125" s="28">
        <f>+IFERROR(VLOOKUP(A125,TB310320119!$A$11:$C$421,3,0),0)</f>
        <v>0</v>
      </c>
      <c r="O125" s="28">
        <v>0</v>
      </c>
      <c r="P125" s="28">
        <f t="shared" si="22"/>
        <v>0</v>
      </c>
      <c r="Q125" s="20">
        <f t="shared" si="21"/>
        <v>36000</v>
      </c>
    </row>
    <row r="126" spans="1:17" ht="15" customHeight="1">
      <c r="A126" s="28" t="s">
        <v>111</v>
      </c>
      <c r="B126" s="28">
        <v>7</v>
      </c>
      <c r="C126" s="28" t="s">
        <v>561</v>
      </c>
      <c r="D126" s="28" t="s">
        <v>561</v>
      </c>
      <c r="E126" s="28">
        <f>+IFERROR(VLOOKUP(A126,TB31032020!$A$11:$C$415,2,0),0)</f>
        <v>0</v>
      </c>
      <c r="F126" s="28">
        <v>0</v>
      </c>
      <c r="G126" s="28">
        <f t="shared" si="17"/>
        <v>0</v>
      </c>
      <c r="H126" s="28">
        <f>+IFERROR(VLOOKUP(A126,TB31032020!$A$11:$C$415,3,0),0)</f>
        <v>56640</v>
      </c>
      <c r="I126" s="28">
        <v>0</v>
      </c>
      <c r="J126" s="28">
        <f t="shared" si="18"/>
        <v>56640</v>
      </c>
      <c r="K126" s="28">
        <f>+IFERROR(VLOOKUP(A126,TB310320119!$A$11:$C$422,2,0),0)</f>
        <v>0</v>
      </c>
      <c r="L126" s="28">
        <v>0</v>
      </c>
      <c r="M126" s="28">
        <f t="shared" si="19"/>
        <v>0</v>
      </c>
      <c r="N126" s="28">
        <f>+IFERROR(VLOOKUP(A126,TB310320119!$A$11:$C$421,3,0),0)</f>
        <v>55518</v>
      </c>
      <c r="O126" s="28">
        <v>0</v>
      </c>
      <c r="P126" s="28">
        <f t="shared" si="22"/>
        <v>55518</v>
      </c>
      <c r="Q126" s="20">
        <f t="shared" si="21"/>
        <v>224316</v>
      </c>
    </row>
    <row r="127" spans="1:17" ht="15" customHeight="1">
      <c r="A127" s="28" t="s">
        <v>112</v>
      </c>
      <c r="B127" s="28">
        <v>7</v>
      </c>
      <c r="C127" s="28" t="s">
        <v>561</v>
      </c>
      <c r="D127" s="28" t="s">
        <v>561</v>
      </c>
      <c r="E127" s="28">
        <f>+IFERROR(VLOOKUP(A127,TB31032020!$A$11:$C$415,2,0),0)</f>
        <v>0</v>
      </c>
      <c r="F127" s="28">
        <v>0</v>
      </c>
      <c r="G127" s="28">
        <f t="shared" si="17"/>
        <v>0</v>
      </c>
      <c r="H127" s="28">
        <f>+IFERROR(VLOOKUP(A127,TB31032020!$A$11:$C$415,3,0),0)</f>
        <v>5099431</v>
      </c>
      <c r="I127" s="28">
        <v>0</v>
      </c>
      <c r="J127" s="28">
        <f t="shared" si="18"/>
        <v>5099431</v>
      </c>
      <c r="K127" s="28">
        <f>+IFERROR(VLOOKUP(A127,TB310320119!$A$11:$C$422,2,0),0)</f>
        <v>0</v>
      </c>
      <c r="L127" s="28">
        <v>0</v>
      </c>
      <c r="M127" s="28">
        <f t="shared" si="19"/>
        <v>0</v>
      </c>
      <c r="N127" s="28">
        <f>+IFERROR(VLOOKUP(A127,TB310320119!$A$11:$C$421,3,0),0)</f>
        <v>1590213.7</v>
      </c>
      <c r="O127" s="28">
        <v>0</v>
      </c>
      <c r="P127" s="28">
        <f t="shared" si="22"/>
        <v>1590213.7</v>
      </c>
      <c r="Q127" s="20">
        <f t="shared" si="21"/>
        <v>13379289.399999999</v>
      </c>
    </row>
    <row r="128" spans="1:17" ht="15" customHeight="1">
      <c r="A128" s="48" t="s">
        <v>450</v>
      </c>
      <c r="B128" s="28">
        <v>15</v>
      </c>
      <c r="C128" s="28" t="s">
        <v>563</v>
      </c>
      <c r="D128" s="28" t="s">
        <v>564</v>
      </c>
      <c r="E128" s="28">
        <f>+IFERROR(VLOOKUP(A128,TB31032020!$A$11:$C$415,2,0),0)</f>
        <v>0</v>
      </c>
      <c r="F128" s="28">
        <v>0</v>
      </c>
      <c r="G128" s="28">
        <f t="shared" si="17"/>
        <v>0</v>
      </c>
      <c r="H128" s="28">
        <f>+IFERROR(VLOOKUP(A128,TB31032020!$A$11:$C$415,3,0),0)</f>
        <v>0</v>
      </c>
      <c r="I128" s="28">
        <v>0</v>
      </c>
      <c r="J128" s="28">
        <f t="shared" si="18"/>
        <v>0</v>
      </c>
      <c r="K128" s="28">
        <f>+IFERROR(VLOOKUP(A128,TB310320119!$A$11:$C$422,2,0),0)</f>
        <v>447794</v>
      </c>
      <c r="L128" s="28">
        <v>0</v>
      </c>
      <c r="M128" s="28">
        <f t="shared" si="19"/>
        <v>447794</v>
      </c>
      <c r="N128" s="28">
        <f>+IFERROR(VLOOKUP(A128,TB310320119!$A$11:$C$421,3,0),0)</f>
        <v>0</v>
      </c>
      <c r="O128" s="28">
        <v>0</v>
      </c>
      <c r="P128" s="28">
        <f t="shared" si="22"/>
        <v>0</v>
      </c>
      <c r="Q128" s="20">
        <f t="shared" si="21"/>
        <v>895588</v>
      </c>
    </row>
    <row r="129" spans="1:17" ht="15" customHeight="1">
      <c r="A129" s="28" t="s">
        <v>113</v>
      </c>
      <c r="B129" s="28">
        <v>10</v>
      </c>
      <c r="C129" s="28" t="s">
        <v>592</v>
      </c>
      <c r="D129" s="28" t="s">
        <v>593</v>
      </c>
      <c r="E129" s="28">
        <f>+IFERROR(VLOOKUP(A129,TB31032020!$A$11:$C$415,2,0),0)</f>
        <v>28473033.399999999</v>
      </c>
      <c r="F129" s="28">
        <v>0</v>
      </c>
      <c r="G129" s="28">
        <f t="shared" si="17"/>
        <v>28473033.399999999</v>
      </c>
      <c r="H129" s="28">
        <f>+IFERROR(VLOOKUP(A129,TB31032020!$A$11:$C$415,3,0),0)</f>
        <v>0</v>
      </c>
      <c r="I129" s="28">
        <v>0</v>
      </c>
      <c r="J129" s="28">
        <f t="shared" si="18"/>
        <v>0</v>
      </c>
      <c r="K129" s="28">
        <f>+IFERROR(VLOOKUP(A129,TB310320119!$A$11:$C$422,2,0),0)</f>
        <v>26949655</v>
      </c>
      <c r="L129" s="28">
        <v>0</v>
      </c>
      <c r="M129" s="28">
        <f t="shared" si="19"/>
        <v>26949655</v>
      </c>
      <c r="N129" s="28">
        <f>+IFERROR(VLOOKUP(A129,TB310320119!$A$11:$C$421,3,0),0)</f>
        <v>0</v>
      </c>
      <c r="O129" s="28">
        <v>0</v>
      </c>
      <c r="P129" s="28">
        <f t="shared" si="22"/>
        <v>0</v>
      </c>
      <c r="Q129" s="20">
        <f t="shared" si="21"/>
        <v>110845376.8</v>
      </c>
    </row>
    <row r="130" spans="1:17" ht="15" customHeight="1">
      <c r="A130" s="28" t="s">
        <v>114</v>
      </c>
      <c r="B130" s="28">
        <v>2</v>
      </c>
      <c r="C130" s="28" t="s">
        <v>636</v>
      </c>
      <c r="D130" s="28" t="s">
        <v>637</v>
      </c>
      <c r="E130" s="28">
        <f>+IFERROR(VLOOKUP(A130,TB31032020!$A$11:$C$415,2,0),0)</f>
        <v>0</v>
      </c>
      <c r="F130" s="28">
        <v>0</v>
      </c>
      <c r="G130" s="28">
        <f t="shared" si="17"/>
        <v>0</v>
      </c>
      <c r="H130" s="28">
        <f>+IFERROR(VLOOKUP(A130,TB31032020!$A$11:$C$415,3,0),0)</f>
        <v>26922650</v>
      </c>
      <c r="I130" s="28">
        <v>0</v>
      </c>
      <c r="J130" s="28">
        <f t="shared" si="18"/>
        <v>26922650</v>
      </c>
      <c r="K130" s="28">
        <f>+IFERROR(VLOOKUP(A130,TB310320119!$A$11:$C$422,2,0),0)</f>
        <v>0</v>
      </c>
      <c r="L130" s="28">
        <v>0</v>
      </c>
      <c r="M130" s="28">
        <f t="shared" si="19"/>
        <v>0</v>
      </c>
      <c r="N130" s="28">
        <f>+IFERROR(VLOOKUP(A130,TB310320119!$A$11:$C$421,3,0),0)</f>
        <v>26922650</v>
      </c>
      <c r="O130" s="28">
        <v>0</v>
      </c>
      <c r="P130" s="28">
        <f t="shared" si="22"/>
        <v>26922650</v>
      </c>
      <c r="Q130" s="20">
        <f t="shared" si="21"/>
        <v>107690600</v>
      </c>
    </row>
    <row r="131" spans="1:17" ht="15" customHeight="1">
      <c r="A131" s="41" t="s">
        <v>115</v>
      </c>
      <c r="B131" s="28">
        <v>24</v>
      </c>
      <c r="C131" s="28" t="s">
        <v>579</v>
      </c>
      <c r="D131" s="28" t="s">
        <v>638</v>
      </c>
      <c r="E131" s="28">
        <f>+IFERROR(VLOOKUP(A131,TB31032020!$A$11:$C$415,2,0),0)</f>
        <v>236394</v>
      </c>
      <c r="F131" s="28">
        <v>0</v>
      </c>
      <c r="G131" s="28">
        <f t="shared" si="17"/>
        <v>236394</v>
      </c>
      <c r="H131" s="28">
        <f>+IFERROR(VLOOKUP(A131,TB31032020!$A$11:$C$415,3,0),0)</f>
        <v>0</v>
      </c>
      <c r="I131" s="28">
        <v>0</v>
      </c>
      <c r="J131" s="28">
        <f t="shared" si="18"/>
        <v>0</v>
      </c>
      <c r="K131" s="28">
        <f>+IFERROR(VLOOKUP(A131,TB310320119!$A$11:$C$422,2,0),0)</f>
        <v>267216</v>
      </c>
      <c r="L131" s="28">
        <v>0</v>
      </c>
      <c r="M131" s="28">
        <f t="shared" si="19"/>
        <v>267216</v>
      </c>
      <c r="N131" s="28">
        <f>+IFERROR(VLOOKUP(A131,TB310320119!$A$11:$C$421,3,0),0)</f>
        <v>0</v>
      </c>
      <c r="O131" s="28">
        <v>0</v>
      </c>
      <c r="P131" s="28">
        <f t="shared" si="22"/>
        <v>0</v>
      </c>
      <c r="Q131" s="20">
        <f t="shared" si="21"/>
        <v>1007220</v>
      </c>
    </row>
    <row r="132" spans="1:17" ht="15" customHeight="1">
      <c r="A132" s="42" t="s">
        <v>451</v>
      </c>
      <c r="B132" s="28">
        <v>26</v>
      </c>
      <c r="C132" s="28" t="s">
        <v>568</v>
      </c>
      <c r="D132" s="28" t="s">
        <v>569</v>
      </c>
      <c r="E132" s="28">
        <f>+IFERROR(VLOOKUP(A132,TB31032020!$A$11:$C$415,2,0),0)</f>
        <v>0</v>
      </c>
      <c r="F132" s="28">
        <v>0</v>
      </c>
      <c r="G132" s="28">
        <f t="shared" si="17"/>
        <v>0</v>
      </c>
      <c r="H132" s="28">
        <f>+IFERROR(VLOOKUP(A132,TB31032020!$A$11:$C$415,3,0),0)</f>
        <v>0</v>
      </c>
      <c r="I132" s="28">
        <v>0</v>
      </c>
      <c r="J132" s="28">
        <f t="shared" si="18"/>
        <v>0</v>
      </c>
      <c r="K132" s="28">
        <f>+IFERROR(VLOOKUP(A132,TB310320119!$A$11:$C$422,2,0),0)</f>
        <v>7729</v>
      </c>
      <c r="L132" s="28">
        <v>0</v>
      </c>
      <c r="M132" s="28">
        <f t="shared" si="19"/>
        <v>7729</v>
      </c>
      <c r="N132" s="28">
        <f>+IFERROR(VLOOKUP(A132,TB310320119!$A$11:$C$421,3,0),0)</f>
        <v>0</v>
      </c>
      <c r="O132" s="28">
        <v>0</v>
      </c>
      <c r="P132" s="28">
        <f t="shared" si="22"/>
        <v>0</v>
      </c>
      <c r="Q132" s="20">
        <f t="shared" si="21"/>
        <v>15458</v>
      </c>
    </row>
    <row r="133" spans="1:17" ht="15" customHeight="1">
      <c r="A133" s="48" t="s">
        <v>116</v>
      </c>
      <c r="B133" s="28">
        <v>26</v>
      </c>
      <c r="C133" s="28" t="s">
        <v>568</v>
      </c>
      <c r="D133" s="28" t="s">
        <v>569</v>
      </c>
      <c r="E133" s="28">
        <f>+IFERROR(VLOOKUP(A133,TB31032020!$A$11:$C$415,2,0),0)</f>
        <v>57414</v>
      </c>
      <c r="F133" s="28">
        <v>0</v>
      </c>
      <c r="G133" s="28">
        <f t="shared" si="17"/>
        <v>57414</v>
      </c>
      <c r="H133" s="28">
        <f>+IFERROR(VLOOKUP(A133,TB31032020!$A$11:$C$415,3,0),0)</f>
        <v>0</v>
      </c>
      <c r="I133" s="28">
        <v>0</v>
      </c>
      <c r="J133" s="28">
        <f t="shared" si="18"/>
        <v>0</v>
      </c>
      <c r="K133" s="28">
        <f>+IFERROR(VLOOKUP(A133,TB310320119!$A$11:$C$422,2,0),0)</f>
        <v>10000</v>
      </c>
      <c r="L133" s="28">
        <v>0</v>
      </c>
      <c r="M133" s="28">
        <f t="shared" si="19"/>
        <v>10000</v>
      </c>
      <c r="N133" s="28">
        <f>+IFERROR(VLOOKUP(A133,TB310320119!$A$11:$C$421,3,0),0)</f>
        <v>0</v>
      </c>
      <c r="O133" s="28">
        <v>0</v>
      </c>
      <c r="P133" s="28">
        <f t="shared" si="22"/>
        <v>0</v>
      </c>
      <c r="Q133" s="20">
        <f t="shared" si="21"/>
        <v>134828</v>
      </c>
    </row>
    <row r="134" spans="1:17" ht="15" customHeight="1">
      <c r="A134" s="28" t="s">
        <v>454</v>
      </c>
      <c r="B134" s="28">
        <v>24</v>
      </c>
      <c r="C134" s="28" t="s">
        <v>579</v>
      </c>
      <c r="D134" s="28" t="s">
        <v>580</v>
      </c>
      <c r="E134" s="28">
        <f>+IFERROR(VLOOKUP(A134,TB31032020!$A$11:$C$415,2,0),0)</f>
        <v>0</v>
      </c>
      <c r="F134" s="28">
        <v>0</v>
      </c>
      <c r="G134" s="28">
        <f t="shared" si="17"/>
        <v>0</v>
      </c>
      <c r="H134" s="28">
        <f>+IFERROR(VLOOKUP(A134,TB31032020!$A$11:$C$415,3,0),0)</f>
        <v>0</v>
      </c>
      <c r="I134" s="28">
        <v>0</v>
      </c>
      <c r="J134" s="28">
        <f t="shared" si="18"/>
        <v>0</v>
      </c>
      <c r="K134" s="28">
        <f>+IFERROR(VLOOKUP(A134,TB310320119!$A$11:$C$422,2,0),0)</f>
        <v>300000</v>
      </c>
      <c r="L134" s="28">
        <v>0</v>
      </c>
      <c r="M134" s="28">
        <f t="shared" si="19"/>
        <v>300000</v>
      </c>
      <c r="N134" s="28">
        <f>+IFERROR(VLOOKUP(A134,TB310320119!$A$11:$C$421,3,0),0)</f>
        <v>0</v>
      </c>
      <c r="O134" s="28">
        <v>0</v>
      </c>
      <c r="P134" s="28">
        <f t="shared" si="22"/>
        <v>0</v>
      </c>
      <c r="Q134" s="20">
        <f t="shared" si="21"/>
        <v>600000</v>
      </c>
    </row>
    <row r="135" spans="1:17" ht="15" customHeight="1">
      <c r="A135" s="28" t="s">
        <v>452</v>
      </c>
      <c r="B135" s="28">
        <v>26</v>
      </c>
      <c r="C135" s="28" t="s">
        <v>568</v>
      </c>
      <c r="D135" s="28" t="s">
        <v>569</v>
      </c>
      <c r="E135" s="28">
        <f>+IFERROR(VLOOKUP(A135,TB31032020!$A$11:$C$415,2,0),0)</f>
        <v>0</v>
      </c>
      <c r="F135" s="28">
        <v>0</v>
      </c>
      <c r="G135" s="28">
        <f t="shared" ref="G135:G198" si="28">+E135+F135</f>
        <v>0</v>
      </c>
      <c r="H135" s="28">
        <f>+IFERROR(VLOOKUP(A135,TB31032020!$A$11:$C$415,3,0),0)</f>
        <v>0</v>
      </c>
      <c r="I135" s="28">
        <v>0</v>
      </c>
      <c r="J135" s="28">
        <f t="shared" ref="J135:J198" si="29">+H135+I135</f>
        <v>0</v>
      </c>
      <c r="K135" s="28">
        <f>+IFERROR(VLOOKUP(A135,TB310320119!$A$11:$C$422,2,0),0)</f>
        <v>131188</v>
      </c>
      <c r="L135" s="28">
        <v>0</v>
      </c>
      <c r="M135" s="28">
        <f t="shared" si="19"/>
        <v>131188</v>
      </c>
      <c r="N135" s="28">
        <f>+IFERROR(VLOOKUP(A135,TB310320119!$A$11:$C$421,3,0),0)</f>
        <v>0</v>
      </c>
      <c r="O135" s="28">
        <v>0</v>
      </c>
      <c r="P135" s="28">
        <f t="shared" si="22"/>
        <v>0</v>
      </c>
      <c r="Q135" s="20">
        <f t="shared" si="21"/>
        <v>262376</v>
      </c>
    </row>
    <row r="136" spans="1:17" ht="15" customHeight="1">
      <c r="A136" s="28" t="s">
        <v>453</v>
      </c>
      <c r="B136" s="28">
        <v>22</v>
      </c>
      <c r="C136" s="28" t="s">
        <v>581</v>
      </c>
      <c r="D136" s="28" t="s">
        <v>582</v>
      </c>
      <c r="E136" s="28">
        <f>+IFERROR(VLOOKUP(A136,TB31032020!$A$11:$C$415,2,0),0)</f>
        <v>0</v>
      </c>
      <c r="F136" s="28">
        <v>0</v>
      </c>
      <c r="G136" s="28">
        <f t="shared" si="28"/>
        <v>0</v>
      </c>
      <c r="H136" s="28">
        <f>+IFERROR(VLOOKUP(A136,TB31032020!$A$11:$C$415,3,0),0)</f>
        <v>0</v>
      </c>
      <c r="I136" s="28">
        <v>0</v>
      </c>
      <c r="J136" s="28">
        <f t="shared" si="29"/>
        <v>0</v>
      </c>
      <c r="K136" s="28">
        <f>+IFERROR(VLOOKUP(A136,TB310320119!$A$11:$C$422,2,0),0)</f>
        <v>17535</v>
      </c>
      <c r="L136" s="28">
        <v>0</v>
      </c>
      <c r="M136" s="28">
        <f t="shared" si="19"/>
        <v>17535</v>
      </c>
      <c r="N136" s="28">
        <f>+IFERROR(VLOOKUP(A136,TB310320119!$A$11:$C$421,3,0),0)</f>
        <v>0</v>
      </c>
      <c r="O136" s="28">
        <v>0</v>
      </c>
      <c r="P136" s="28">
        <f t="shared" si="22"/>
        <v>0</v>
      </c>
      <c r="Q136" s="20">
        <f t="shared" si="21"/>
        <v>35070</v>
      </c>
    </row>
    <row r="137" spans="1:17" ht="15" customHeight="1">
      <c r="A137" s="49" t="s">
        <v>117</v>
      </c>
      <c r="B137" s="28">
        <v>26</v>
      </c>
      <c r="C137" s="28" t="s">
        <v>568</v>
      </c>
      <c r="D137" s="28" t="s">
        <v>607</v>
      </c>
      <c r="E137" s="28">
        <f>+IFERROR(VLOOKUP(A137,TB31032020!$A$11:$C$415,2,0),0)</f>
        <v>491501</v>
      </c>
      <c r="F137" s="28">
        <v>0</v>
      </c>
      <c r="G137" s="28">
        <f t="shared" si="28"/>
        <v>491501</v>
      </c>
      <c r="H137" s="28">
        <f>+IFERROR(VLOOKUP(A137,TB31032020!$A$11:$C$415,3,0),0)</f>
        <v>0</v>
      </c>
      <c r="I137" s="28">
        <v>0</v>
      </c>
      <c r="J137" s="28">
        <f t="shared" si="29"/>
        <v>0</v>
      </c>
      <c r="K137" s="28">
        <f>+IFERROR(VLOOKUP(A137,TB310320119!$A$11:$C$422,2,0),0)</f>
        <v>0</v>
      </c>
      <c r="L137" s="28">
        <v>0</v>
      </c>
      <c r="M137" s="28">
        <f t="shared" si="19"/>
        <v>0</v>
      </c>
      <c r="N137" s="28">
        <f>+IFERROR(VLOOKUP(A137,TB310320119!$A$11:$C$421,3,0),0)</f>
        <v>0</v>
      </c>
      <c r="O137" s="28">
        <v>0</v>
      </c>
      <c r="P137" s="28">
        <f t="shared" si="22"/>
        <v>0</v>
      </c>
      <c r="Q137" s="20">
        <f t="shared" si="21"/>
        <v>983002</v>
      </c>
    </row>
    <row r="138" spans="1:17" ht="15" customHeight="1">
      <c r="A138" s="28" t="s">
        <v>118</v>
      </c>
      <c r="B138" s="28">
        <v>19</v>
      </c>
      <c r="C138" s="28" t="s">
        <v>617</v>
      </c>
      <c r="D138" s="28" t="s">
        <v>618</v>
      </c>
      <c r="E138" s="28">
        <f>+IFERROR(VLOOKUP(A138,TB31032020!$A$11:$C$415,2,0),0)</f>
        <v>0</v>
      </c>
      <c r="F138" s="28">
        <v>0</v>
      </c>
      <c r="G138" s="28">
        <f t="shared" si="28"/>
        <v>0</v>
      </c>
      <c r="H138" s="28">
        <f>+IFERROR(VLOOKUP(A138,TB31032020!$A$11:$C$415,3,0),0)</f>
        <v>10652264</v>
      </c>
      <c r="I138" s="28">
        <v>0</v>
      </c>
      <c r="J138" s="28">
        <f t="shared" si="29"/>
        <v>10652264</v>
      </c>
      <c r="K138" s="28">
        <f>+IFERROR(VLOOKUP(A138,TB310320119!$A$11:$C$422,2,0),0)</f>
        <v>0</v>
      </c>
      <c r="L138" s="28">
        <v>0</v>
      </c>
      <c r="M138" s="28">
        <f t="shared" ref="M138:M205" si="30">K138+L138</f>
        <v>0</v>
      </c>
      <c r="N138" s="28">
        <f>+IFERROR(VLOOKUP(A138,TB310320119!$A$11:$C$421,3,0),0)</f>
        <v>0</v>
      </c>
      <c r="O138" s="28">
        <v>0</v>
      </c>
      <c r="P138" s="28">
        <f t="shared" si="22"/>
        <v>0</v>
      </c>
      <c r="Q138" s="20">
        <f t="shared" ref="Q138:Q205" si="31">+SUM(E138:P138)</f>
        <v>21304528</v>
      </c>
    </row>
    <row r="139" spans="1:17" ht="15" customHeight="1">
      <c r="A139" s="28" t="s">
        <v>119</v>
      </c>
      <c r="B139" s="28">
        <v>26</v>
      </c>
      <c r="C139" s="28" t="s">
        <v>568</v>
      </c>
      <c r="D139" s="28" t="s">
        <v>591</v>
      </c>
      <c r="E139" s="28">
        <f>+IFERROR(VLOOKUP(A139,TB31032020!$A$11:$C$415,2,0),0)</f>
        <v>58090</v>
      </c>
      <c r="F139" s="28">
        <v>0</v>
      </c>
      <c r="G139" s="28">
        <f t="shared" si="28"/>
        <v>58090</v>
      </c>
      <c r="H139" s="28">
        <f>+IFERROR(VLOOKUP(A139,TB31032020!$A$11:$C$415,3,0),0)</f>
        <v>0</v>
      </c>
      <c r="I139" s="28">
        <v>0</v>
      </c>
      <c r="J139" s="28">
        <f t="shared" si="29"/>
        <v>0</v>
      </c>
      <c r="K139" s="28">
        <f>+IFERROR(VLOOKUP(A139,TB310320119!$A$11:$C$422,2,0),0)</f>
        <v>58460</v>
      </c>
      <c r="L139" s="28">
        <v>0</v>
      </c>
      <c r="M139" s="28">
        <f t="shared" si="30"/>
        <v>58460</v>
      </c>
      <c r="N139" s="28">
        <f>+IFERROR(VLOOKUP(A139,TB310320119!$A$11:$C$421,3,0),0)</f>
        <v>0</v>
      </c>
      <c r="O139" s="28">
        <v>0</v>
      </c>
      <c r="P139" s="28">
        <f t="shared" si="22"/>
        <v>0</v>
      </c>
      <c r="Q139" s="20">
        <f t="shared" si="31"/>
        <v>233100</v>
      </c>
    </row>
    <row r="140" spans="1:17" ht="15" customHeight="1">
      <c r="A140" s="28" t="s">
        <v>120</v>
      </c>
      <c r="B140" s="28">
        <v>26</v>
      </c>
      <c r="C140" s="28" t="s">
        <v>568</v>
      </c>
      <c r="D140" s="28" t="s">
        <v>591</v>
      </c>
      <c r="E140" s="28">
        <f>+IFERROR(VLOOKUP(A140,TB31032020!$A$11:$C$415,2,0),0)</f>
        <v>242450</v>
      </c>
      <c r="F140" s="28">
        <v>0</v>
      </c>
      <c r="G140" s="28">
        <f t="shared" si="28"/>
        <v>242450</v>
      </c>
      <c r="H140" s="28">
        <f>+IFERROR(VLOOKUP(A140,TB31032020!$A$11:$C$415,3,0),0)</f>
        <v>0</v>
      </c>
      <c r="I140" s="28">
        <v>0</v>
      </c>
      <c r="J140" s="28">
        <f t="shared" si="29"/>
        <v>0</v>
      </c>
      <c r="K140" s="28">
        <f>+IFERROR(VLOOKUP(A140,TB310320119!$A$11:$C$422,2,0),0)</f>
        <v>304200.96999999997</v>
      </c>
      <c r="L140" s="28">
        <v>0</v>
      </c>
      <c r="M140" s="28">
        <f t="shared" si="30"/>
        <v>304200.96999999997</v>
      </c>
      <c r="N140" s="28">
        <f>+IFERROR(VLOOKUP(A140,TB310320119!$A$11:$C$421,3,0),0)</f>
        <v>0</v>
      </c>
      <c r="O140" s="28">
        <v>0</v>
      </c>
      <c r="P140" s="28">
        <f t="shared" si="22"/>
        <v>0</v>
      </c>
      <c r="Q140" s="20">
        <f t="shared" si="31"/>
        <v>1093301.94</v>
      </c>
    </row>
    <row r="141" spans="1:17" ht="15" customHeight="1">
      <c r="A141" s="28" t="s">
        <v>121</v>
      </c>
      <c r="B141" s="28">
        <v>26</v>
      </c>
      <c r="C141" s="28" t="s">
        <v>568</v>
      </c>
      <c r="D141" s="28" t="s">
        <v>605</v>
      </c>
      <c r="E141" s="28">
        <f>+IFERROR(VLOOKUP(A141,TB31032020!$A$11:$C$415,2,0),0)</f>
        <v>70499746</v>
      </c>
      <c r="F141" s="28">
        <v>0</v>
      </c>
      <c r="G141" s="28">
        <f t="shared" si="28"/>
        <v>70499746</v>
      </c>
      <c r="H141" s="28">
        <f>+IFERROR(VLOOKUP(A141,TB31032020!$A$11:$C$415,3,0),0)</f>
        <v>0</v>
      </c>
      <c r="I141" s="28">
        <v>0</v>
      </c>
      <c r="J141" s="28">
        <f t="shared" si="29"/>
        <v>0</v>
      </c>
      <c r="K141" s="28">
        <f>+IFERROR(VLOOKUP(A141,TB310320119!$A$11:$C$422,2,0),0)</f>
        <v>61945705</v>
      </c>
      <c r="L141" s="28"/>
      <c r="M141" s="28">
        <f t="shared" si="30"/>
        <v>61945705</v>
      </c>
      <c r="N141" s="28">
        <f>+IFERROR(VLOOKUP(A141,TB310320119!$A$11:$C$421,3,0),0)</f>
        <v>0</v>
      </c>
      <c r="O141" s="28">
        <v>0</v>
      </c>
      <c r="P141" s="28">
        <f t="shared" si="22"/>
        <v>0</v>
      </c>
      <c r="Q141" s="20">
        <f t="shared" si="31"/>
        <v>264890902</v>
      </c>
    </row>
    <row r="142" spans="1:17" ht="15" customHeight="1">
      <c r="A142" s="28" t="s">
        <v>122</v>
      </c>
      <c r="B142" s="28">
        <v>26</v>
      </c>
      <c r="C142" s="28" t="s">
        <v>568</v>
      </c>
      <c r="D142" s="28" t="s">
        <v>591</v>
      </c>
      <c r="E142" s="28">
        <f>+IFERROR(VLOOKUP(A142,TB31032020!$A$11:$C$415,2,0),0)</f>
        <v>289245</v>
      </c>
      <c r="F142" s="28">
        <v>0</v>
      </c>
      <c r="G142" s="28">
        <f t="shared" si="28"/>
        <v>289245</v>
      </c>
      <c r="H142" s="28">
        <f>+IFERROR(VLOOKUP(A142,TB31032020!$A$11:$C$415,3,0),0)</f>
        <v>0</v>
      </c>
      <c r="I142" s="28">
        <v>0</v>
      </c>
      <c r="J142" s="28">
        <f t="shared" si="29"/>
        <v>0</v>
      </c>
      <c r="K142" s="28">
        <f>+IFERROR(VLOOKUP(A142,TB310320119!$A$11:$C$422,2,0),0)</f>
        <v>284236</v>
      </c>
      <c r="L142" s="28">
        <v>0</v>
      </c>
      <c r="M142" s="28">
        <f t="shared" si="30"/>
        <v>284236</v>
      </c>
      <c r="N142" s="28">
        <f>+IFERROR(VLOOKUP(A142,TB310320119!$A$11:$C$421,3,0),0)</f>
        <v>0</v>
      </c>
      <c r="O142" s="28">
        <v>0</v>
      </c>
      <c r="P142" s="28">
        <f t="shared" si="22"/>
        <v>0</v>
      </c>
      <c r="Q142" s="20">
        <f t="shared" si="31"/>
        <v>1146962</v>
      </c>
    </row>
    <row r="143" spans="1:17" ht="15" customHeight="1">
      <c r="A143" s="28" t="s">
        <v>639</v>
      </c>
      <c r="B143" s="28">
        <v>26</v>
      </c>
      <c r="C143" s="28" t="s">
        <v>568</v>
      </c>
      <c r="D143" s="28" t="s">
        <v>569</v>
      </c>
      <c r="E143" s="28">
        <f>+IFERROR(VLOOKUP(A143,TB31032020!$A$11:$C$415,2,0),0)</f>
        <v>50000</v>
      </c>
      <c r="F143" s="28">
        <v>0</v>
      </c>
      <c r="G143" s="28">
        <f t="shared" si="28"/>
        <v>50000</v>
      </c>
      <c r="H143" s="28">
        <f>+IFERROR(VLOOKUP(A143,TB31032020!$A$11:$C$415,3,0),0)</f>
        <v>0</v>
      </c>
      <c r="I143" s="28">
        <v>0</v>
      </c>
      <c r="J143" s="28">
        <f t="shared" si="29"/>
        <v>0</v>
      </c>
      <c r="K143" s="28">
        <f>+IFERROR(VLOOKUP(A143,TB310320119!$A$11:$C$422,2,0),0)</f>
        <v>50000</v>
      </c>
      <c r="L143" s="28">
        <v>0</v>
      </c>
      <c r="M143" s="28">
        <f t="shared" si="30"/>
        <v>50000</v>
      </c>
      <c r="N143" s="28">
        <f>+IFERROR(VLOOKUP(A143,TB310320119!$A$11:$C$421,3,0),0)</f>
        <v>0</v>
      </c>
      <c r="O143" s="28">
        <v>0</v>
      </c>
      <c r="P143" s="28">
        <f t="shared" si="22"/>
        <v>0</v>
      </c>
      <c r="Q143" s="20">
        <f t="shared" si="31"/>
        <v>200000</v>
      </c>
    </row>
    <row r="144" spans="1:17" ht="15" customHeight="1">
      <c r="A144" s="28" t="s">
        <v>124</v>
      </c>
      <c r="B144" s="28">
        <v>26</v>
      </c>
      <c r="C144" s="28" t="s">
        <v>568</v>
      </c>
      <c r="D144" s="28" t="s">
        <v>591</v>
      </c>
      <c r="E144" s="28">
        <f>+IFERROR(VLOOKUP(A144,TB31032020!$A$11:$C$415,2,0),0)</f>
        <v>28970.799999999999</v>
      </c>
      <c r="F144" s="28">
        <v>0</v>
      </c>
      <c r="G144" s="28">
        <f t="shared" si="28"/>
        <v>28970.799999999999</v>
      </c>
      <c r="H144" s="28">
        <f>+IFERROR(VLOOKUP(A144,TB31032020!$A$11:$C$415,3,0),0)</f>
        <v>0</v>
      </c>
      <c r="I144" s="28">
        <v>0</v>
      </c>
      <c r="J144" s="28">
        <f t="shared" si="29"/>
        <v>0</v>
      </c>
      <c r="K144" s="28">
        <f>+IFERROR(VLOOKUP(A144,TB310320119!$A$11:$C$422,2,0),0)</f>
        <v>42599</v>
      </c>
      <c r="L144" s="28">
        <v>0</v>
      </c>
      <c r="M144" s="28">
        <f t="shared" si="30"/>
        <v>42599</v>
      </c>
      <c r="N144" s="28">
        <f>+IFERROR(VLOOKUP(A144,TB310320119!$A$11:$C$421,3,0),0)</f>
        <v>0</v>
      </c>
      <c r="O144" s="28">
        <v>0</v>
      </c>
      <c r="P144" s="28">
        <f t="shared" si="22"/>
        <v>0</v>
      </c>
      <c r="Q144" s="20">
        <f t="shared" si="31"/>
        <v>143139.6</v>
      </c>
    </row>
    <row r="145" spans="1:17" ht="15" customHeight="1">
      <c r="A145" s="28" t="s">
        <v>125</v>
      </c>
      <c r="B145" s="28">
        <v>26</v>
      </c>
      <c r="C145" s="28" t="s">
        <v>568</v>
      </c>
      <c r="D145" s="28" t="s">
        <v>640</v>
      </c>
      <c r="E145" s="28">
        <f>+IFERROR(VLOOKUP(A145,TB31032020!$A$11:$C$415,2,0),0)</f>
        <v>2841598</v>
      </c>
      <c r="F145" s="28">
        <v>0</v>
      </c>
      <c r="G145" s="28">
        <f t="shared" si="28"/>
        <v>2841598</v>
      </c>
      <c r="H145" s="28">
        <f>+IFERROR(VLOOKUP(A145,TB31032020!$A$11:$C$415,3,0),0)</f>
        <v>0</v>
      </c>
      <c r="I145" s="28">
        <v>0</v>
      </c>
      <c r="J145" s="28">
        <f t="shared" si="29"/>
        <v>0</v>
      </c>
      <c r="K145" s="28">
        <f>+IFERROR(VLOOKUP(A145,TB310320119!$A$11:$C$422,2,0),0)</f>
        <v>2585804</v>
      </c>
      <c r="L145" s="28">
        <v>0</v>
      </c>
      <c r="M145" s="28">
        <f t="shared" si="30"/>
        <v>2585804</v>
      </c>
      <c r="N145" s="28">
        <f>+IFERROR(VLOOKUP(A145,TB310320119!$A$11:$C$421,3,0),0)</f>
        <v>0</v>
      </c>
      <c r="O145" s="28">
        <v>0</v>
      </c>
      <c r="P145" s="28">
        <f t="shared" si="22"/>
        <v>0</v>
      </c>
      <c r="Q145" s="20">
        <f t="shared" si="31"/>
        <v>10854804</v>
      </c>
    </row>
    <row r="146" spans="1:17" ht="15" customHeight="1">
      <c r="A146" s="28" t="s">
        <v>641</v>
      </c>
      <c r="B146" s="28">
        <v>7</v>
      </c>
      <c r="C146" s="28" t="s">
        <v>561</v>
      </c>
      <c r="D146" s="28" t="s">
        <v>562</v>
      </c>
      <c r="E146" s="28">
        <f>+IFERROR(VLOOKUP(A146,TB31032020!$A$11:$C$415,2,0),0)</f>
        <v>0</v>
      </c>
      <c r="F146" s="28">
        <v>0</v>
      </c>
      <c r="G146" s="28">
        <f t="shared" si="28"/>
        <v>0</v>
      </c>
      <c r="H146" s="28">
        <f>+IFERROR(VLOOKUP(A146,TB31032020!$A$11:$C$415,3,0),0)</f>
        <v>303501</v>
      </c>
      <c r="I146" s="28">
        <v>0</v>
      </c>
      <c r="J146" s="28">
        <f t="shared" si="29"/>
        <v>303501</v>
      </c>
      <c r="K146" s="28">
        <f>+IFERROR(VLOOKUP(A146,TB310320119!$A$11:$C$422,2,0),0)</f>
        <v>0</v>
      </c>
      <c r="L146" s="28">
        <v>0</v>
      </c>
      <c r="M146" s="28">
        <f t="shared" si="30"/>
        <v>0</v>
      </c>
      <c r="N146" s="28">
        <f>+IFERROR(VLOOKUP(A146,TB310320119!$A$11:$C$421,3,0),0)</f>
        <v>310756</v>
      </c>
      <c r="O146" s="28">
        <v>0</v>
      </c>
      <c r="P146" s="28">
        <f t="shared" si="22"/>
        <v>310756</v>
      </c>
      <c r="Q146" s="20">
        <f t="shared" si="31"/>
        <v>1228514</v>
      </c>
    </row>
    <row r="147" spans="1:17" ht="15" customHeight="1">
      <c r="A147" s="28" t="s">
        <v>642</v>
      </c>
      <c r="B147" s="28">
        <v>7</v>
      </c>
      <c r="C147" s="28" t="s">
        <v>561</v>
      </c>
      <c r="D147" s="28" t="s">
        <v>561</v>
      </c>
      <c r="E147" s="28">
        <f>+IFERROR(VLOOKUP(A147,TB31032020!$A$11:$C$415,2,0),0)</f>
        <v>0</v>
      </c>
      <c r="F147" s="28">
        <v>0</v>
      </c>
      <c r="G147" s="28">
        <f t="shared" si="28"/>
        <v>0</v>
      </c>
      <c r="H147" s="28">
        <f>+IFERROR(VLOOKUP(A147,TB31032020!$A$11:$C$415,3,0),0)</f>
        <v>0</v>
      </c>
      <c r="I147" s="28">
        <v>0</v>
      </c>
      <c r="J147" s="28">
        <f t="shared" si="29"/>
        <v>0</v>
      </c>
      <c r="K147" s="28">
        <f>+IFERROR(VLOOKUP(A147,TB310320119!$A$11:$C$422,2,0),0)</f>
        <v>0</v>
      </c>
      <c r="L147" s="28">
        <v>0</v>
      </c>
      <c r="M147" s="28">
        <f t="shared" si="30"/>
        <v>0</v>
      </c>
      <c r="N147" s="28">
        <f>+IFERROR(VLOOKUP(A147,TB310320119!$A$11:$C$421,3,0),0)</f>
        <v>3261</v>
      </c>
      <c r="O147" s="28">
        <v>0</v>
      </c>
      <c r="P147" s="28">
        <f t="shared" si="22"/>
        <v>3261</v>
      </c>
      <c r="Q147" s="20">
        <f t="shared" si="31"/>
        <v>6522</v>
      </c>
    </row>
    <row r="148" spans="1:17" ht="15" customHeight="1">
      <c r="A148" s="28" t="s">
        <v>456</v>
      </c>
      <c r="B148" s="37">
        <v>7</v>
      </c>
      <c r="C148" s="37" t="s">
        <v>561</v>
      </c>
      <c r="D148" s="37" t="s">
        <v>561</v>
      </c>
      <c r="E148" s="28">
        <f>+IFERROR(VLOOKUP(A148,TB31032020!$A$11:$C$415,2,0),0)</f>
        <v>0</v>
      </c>
      <c r="F148" s="28">
        <v>0</v>
      </c>
      <c r="G148" s="28">
        <f t="shared" si="28"/>
        <v>0</v>
      </c>
      <c r="H148" s="28">
        <f>+IFERROR(VLOOKUP(A148,TB31032020!$A$11:$C$415,3,0),0)</f>
        <v>0</v>
      </c>
      <c r="I148" s="28">
        <v>0</v>
      </c>
      <c r="J148" s="28">
        <f t="shared" si="29"/>
        <v>0</v>
      </c>
      <c r="K148" s="28">
        <f>+IFERROR(VLOOKUP(A148,TB310320119!$A$11:$C$422,2,0),0)</f>
        <v>0</v>
      </c>
      <c r="L148" s="28">
        <v>0</v>
      </c>
      <c r="M148" s="28">
        <f t="shared" si="30"/>
        <v>0</v>
      </c>
      <c r="N148" s="28">
        <f>+IFERROR(VLOOKUP(A148,TB310320119!$A$11:$C$421,3,0),0)</f>
        <v>26196</v>
      </c>
      <c r="O148" s="28">
        <v>0</v>
      </c>
      <c r="P148" s="28">
        <f t="shared" si="22"/>
        <v>26196</v>
      </c>
      <c r="Q148" s="20">
        <f t="shared" si="31"/>
        <v>52392</v>
      </c>
    </row>
    <row r="149" spans="1:17" ht="15" customHeight="1">
      <c r="A149" s="55" t="s">
        <v>128</v>
      </c>
      <c r="B149" s="28">
        <v>13</v>
      </c>
      <c r="C149" s="28" t="s">
        <v>623</v>
      </c>
      <c r="D149" s="28" t="s">
        <v>624</v>
      </c>
      <c r="E149" s="28">
        <f>+IFERROR(VLOOKUP(A149,TB31032020!$A$11:$C$415,2,0),0)</f>
        <v>0</v>
      </c>
      <c r="F149" s="28">
        <v>0</v>
      </c>
      <c r="G149" s="28">
        <f t="shared" si="28"/>
        <v>0</v>
      </c>
      <c r="H149" s="28">
        <f>+IFERROR(VLOOKUP(A149,TB31032020!$A$11:$C$415,3,0),0)</f>
        <v>0</v>
      </c>
      <c r="I149" s="28">
        <v>0</v>
      </c>
      <c r="J149" s="28">
        <f t="shared" si="29"/>
        <v>0</v>
      </c>
      <c r="K149" s="28">
        <f>+IFERROR(VLOOKUP(A149,TB310320119!$A$11:$C$422,2,0),0)</f>
        <v>0</v>
      </c>
      <c r="L149" s="28">
        <v>0</v>
      </c>
      <c r="M149" s="28">
        <f t="shared" si="30"/>
        <v>0</v>
      </c>
      <c r="N149" s="28">
        <f>+IFERROR(VLOOKUP(A149,TB310320119!$A$11:$C$421,3,0),0)</f>
        <v>0</v>
      </c>
      <c r="O149" s="28">
        <v>0</v>
      </c>
      <c r="P149" s="28">
        <f t="shared" si="22"/>
        <v>0</v>
      </c>
      <c r="Q149" s="20">
        <f t="shared" si="31"/>
        <v>0</v>
      </c>
    </row>
    <row r="150" spans="1:17" ht="15" customHeight="1">
      <c r="A150" s="54" t="s">
        <v>127</v>
      </c>
      <c r="B150" s="28">
        <v>13</v>
      </c>
      <c r="C150" s="28" t="s">
        <v>623</v>
      </c>
      <c r="D150" s="28" t="s">
        <v>624</v>
      </c>
      <c r="E150" s="28">
        <f>+IFERROR(VLOOKUP(A150,TB31032020!$A$11:$C$415,2,0),0)</f>
        <v>447710</v>
      </c>
      <c r="F150" s="28">
        <v>0</v>
      </c>
      <c r="G150" s="28">
        <f t="shared" si="28"/>
        <v>447710</v>
      </c>
      <c r="H150" s="28">
        <f>+IFERROR(VLOOKUP(A150,TB31032020!$A$11:$C$415,3,0),0)</f>
        <v>0</v>
      </c>
      <c r="I150" s="28">
        <v>0</v>
      </c>
      <c r="J150" s="28">
        <f t="shared" si="29"/>
        <v>0</v>
      </c>
      <c r="K150" s="28">
        <f>+IFERROR(VLOOKUP(A150,TB310320119!$A$11:$C$422,2,0),0)</f>
        <v>447710</v>
      </c>
      <c r="L150" s="28">
        <v>0</v>
      </c>
      <c r="M150" s="28">
        <f t="shared" si="30"/>
        <v>447710</v>
      </c>
      <c r="N150" s="28">
        <f>+IFERROR(VLOOKUP(A150,TB310320119!$A$11:$C$421,3,0),0)</f>
        <v>0</v>
      </c>
      <c r="O150" s="28">
        <v>0</v>
      </c>
      <c r="P150" s="28">
        <f t="shared" si="22"/>
        <v>0</v>
      </c>
      <c r="Q150" s="20">
        <f t="shared" si="31"/>
        <v>1790840</v>
      </c>
    </row>
    <row r="151" spans="1:17" ht="15" customHeight="1">
      <c r="A151" s="54" t="s">
        <v>129</v>
      </c>
      <c r="B151" s="28">
        <v>13</v>
      </c>
      <c r="C151" s="28" t="s">
        <v>623</v>
      </c>
      <c r="D151" s="28" t="s">
        <v>624</v>
      </c>
      <c r="E151" s="28">
        <f>+IFERROR(VLOOKUP(A151,TB31032020!$A$11:$C$415,2,0),0)</f>
        <v>1508572</v>
      </c>
      <c r="F151" s="28">
        <v>0</v>
      </c>
      <c r="G151" s="28">
        <f t="shared" si="28"/>
        <v>1508572</v>
      </c>
      <c r="H151" s="28">
        <f>+IFERROR(VLOOKUP(A151,TB31032020!$A$11:$C$415,3,0),0)</f>
        <v>0</v>
      </c>
      <c r="I151" s="28">
        <v>0</v>
      </c>
      <c r="J151" s="28">
        <f t="shared" si="29"/>
        <v>0</v>
      </c>
      <c r="K151" s="28">
        <f>+IFERROR(VLOOKUP(A151,TB310320119!$A$11:$C$422,2,0),0)</f>
        <v>1508572</v>
      </c>
      <c r="L151" s="28">
        <v>0</v>
      </c>
      <c r="M151" s="28">
        <f t="shared" si="30"/>
        <v>1508572</v>
      </c>
      <c r="N151" s="28">
        <f>+IFERROR(VLOOKUP(A151,TB310320119!$A$11:$C$421,3,0),0)</f>
        <v>0</v>
      </c>
      <c r="O151" s="28">
        <v>0</v>
      </c>
      <c r="P151" s="28">
        <f t="shared" si="22"/>
        <v>0</v>
      </c>
      <c r="Q151" s="20">
        <f t="shared" si="31"/>
        <v>6034288</v>
      </c>
    </row>
    <row r="152" spans="1:17" ht="15" customHeight="1">
      <c r="A152" s="28" t="s">
        <v>130</v>
      </c>
      <c r="B152" s="28">
        <v>20</v>
      </c>
      <c r="C152" s="28" t="s">
        <v>643</v>
      </c>
      <c r="D152" s="28" t="s">
        <v>644</v>
      </c>
      <c r="E152" s="28">
        <f>+IFERROR(VLOOKUP(A152,TB31032020!$A$11:$C$415,2,0),0)</f>
        <v>0</v>
      </c>
      <c r="F152" s="28">
        <v>0</v>
      </c>
      <c r="G152" s="28">
        <f t="shared" si="28"/>
        <v>0</v>
      </c>
      <c r="H152" s="28">
        <f>+IFERROR(VLOOKUP(A152,TB31032020!$A$11:$C$415,3,0),0)</f>
        <v>588805</v>
      </c>
      <c r="I152" s="28">
        <v>0</v>
      </c>
      <c r="J152" s="28">
        <f t="shared" si="29"/>
        <v>588805</v>
      </c>
      <c r="K152" s="28">
        <f>+IFERROR(VLOOKUP(A152,TB310320119!$A$11:$C$422,2,0),0)</f>
        <v>0</v>
      </c>
      <c r="L152" s="28">
        <v>0</v>
      </c>
      <c r="M152" s="28">
        <f t="shared" si="30"/>
        <v>0</v>
      </c>
      <c r="N152" s="28">
        <f>+IFERROR(VLOOKUP(A152,TB310320119!$A$11:$C$421,3,0),0)</f>
        <v>772877</v>
      </c>
      <c r="O152" s="28">
        <v>0</v>
      </c>
      <c r="P152" s="28">
        <f t="shared" si="22"/>
        <v>772877</v>
      </c>
      <c r="Q152" s="20">
        <f t="shared" si="31"/>
        <v>2723364</v>
      </c>
    </row>
    <row r="153" spans="1:17" ht="15" customHeight="1">
      <c r="A153" s="42" t="s">
        <v>131</v>
      </c>
      <c r="B153" s="28">
        <v>22</v>
      </c>
      <c r="C153" s="28" t="s">
        <v>581</v>
      </c>
      <c r="D153" s="28" t="s">
        <v>582</v>
      </c>
      <c r="E153" s="28">
        <f>+IFERROR(VLOOKUP(A153,TB31032020!$A$11:$C$415,2,0),0)</f>
        <v>358420</v>
      </c>
      <c r="F153" s="28">
        <v>0</v>
      </c>
      <c r="G153" s="28">
        <f t="shared" si="28"/>
        <v>358420</v>
      </c>
      <c r="H153" s="28">
        <f>+IFERROR(VLOOKUP(A153,TB31032020!$A$11:$C$415,3,0),0)</f>
        <v>0</v>
      </c>
      <c r="I153" s="28">
        <v>0</v>
      </c>
      <c r="J153" s="28">
        <f t="shared" si="29"/>
        <v>0</v>
      </c>
      <c r="K153" s="28">
        <f>+IFERROR(VLOOKUP(A153,TB310320119!$A$11:$C$422,2,0),0)</f>
        <v>302265</v>
      </c>
      <c r="L153" s="28">
        <v>0</v>
      </c>
      <c r="M153" s="28">
        <f t="shared" si="30"/>
        <v>302265</v>
      </c>
      <c r="N153" s="28">
        <f>+IFERROR(VLOOKUP(A153,TB310320119!$A$11:$C$421,3,0),0)</f>
        <v>0</v>
      </c>
      <c r="O153" s="28">
        <v>0</v>
      </c>
      <c r="P153" s="28">
        <f t="shared" si="22"/>
        <v>0</v>
      </c>
      <c r="Q153" s="20">
        <f t="shared" si="31"/>
        <v>1321370</v>
      </c>
    </row>
    <row r="154" spans="1:17" ht="15" customHeight="1">
      <c r="A154" s="67" t="s">
        <v>132</v>
      </c>
      <c r="B154" s="28">
        <v>7</v>
      </c>
      <c r="C154" s="28" t="s">
        <v>561</v>
      </c>
      <c r="D154" s="28" t="s">
        <v>562</v>
      </c>
      <c r="E154" s="28">
        <f>+IFERROR(VLOOKUP(A154,TB31032020!$A$11:$C$415,2,0),0)</f>
        <v>0</v>
      </c>
      <c r="F154" s="28">
        <v>0</v>
      </c>
      <c r="G154" s="28">
        <f t="shared" si="28"/>
        <v>0</v>
      </c>
      <c r="H154" s="28">
        <f>+IFERROR(VLOOKUP(A154,TB31032020!$A$11:$C$415,3,0),0)</f>
        <v>83450</v>
      </c>
      <c r="I154" s="28">
        <v>0</v>
      </c>
      <c r="J154" s="28">
        <f t="shared" si="29"/>
        <v>83450</v>
      </c>
      <c r="K154" s="28">
        <f>+IFERROR(VLOOKUP(A154,TB310320119!$A$11:$C$422,2,0),0)</f>
        <v>0</v>
      </c>
      <c r="L154" s="28">
        <v>0</v>
      </c>
      <c r="M154" s="28">
        <f t="shared" si="30"/>
        <v>0</v>
      </c>
      <c r="N154" s="28">
        <f>+IFERROR(VLOOKUP(A154,TB310320119!$A$11:$C$421,3,0),0)</f>
        <v>0</v>
      </c>
      <c r="O154" s="28">
        <v>0</v>
      </c>
      <c r="P154" s="28">
        <f t="shared" si="22"/>
        <v>0</v>
      </c>
      <c r="Q154" s="20">
        <f t="shared" si="31"/>
        <v>166900</v>
      </c>
    </row>
    <row r="155" spans="1:17" ht="15" customHeight="1">
      <c r="A155" s="28" t="s">
        <v>133</v>
      </c>
      <c r="B155" s="28">
        <v>10</v>
      </c>
      <c r="C155" s="28" t="s">
        <v>592</v>
      </c>
      <c r="D155" s="28" t="s">
        <v>593</v>
      </c>
      <c r="E155" s="28">
        <f>+IFERROR(VLOOKUP(A155,TB31032020!$A$11:$C$415,2,0),0)</f>
        <v>33965000</v>
      </c>
      <c r="F155" s="28">
        <v>0</v>
      </c>
      <c r="G155" s="28">
        <f t="shared" si="28"/>
        <v>33965000</v>
      </c>
      <c r="H155" s="28">
        <f>+IFERROR(VLOOKUP(A155,TB31032020!$A$11:$C$415,3,0),0)</f>
        <v>0</v>
      </c>
      <c r="I155" s="28">
        <v>0</v>
      </c>
      <c r="J155" s="28">
        <f t="shared" si="29"/>
        <v>0</v>
      </c>
      <c r="K155" s="28">
        <f>+IFERROR(VLOOKUP(A155,TB310320119!$A$11:$C$422,2,0),0)</f>
        <v>33965000</v>
      </c>
      <c r="L155" s="28">
        <v>0</v>
      </c>
      <c r="M155" s="28">
        <f t="shared" si="30"/>
        <v>33965000</v>
      </c>
      <c r="N155" s="28">
        <f>+IFERROR(VLOOKUP(A155,TB310320119!$A$11:$C$421,3,0),0)</f>
        <v>0</v>
      </c>
      <c r="O155" s="28">
        <v>0</v>
      </c>
      <c r="P155" s="28">
        <f t="shared" si="22"/>
        <v>0</v>
      </c>
      <c r="Q155" s="20">
        <f t="shared" si="31"/>
        <v>135860000</v>
      </c>
    </row>
    <row r="156" spans="1:17" ht="15" customHeight="1">
      <c r="A156" s="28" t="s">
        <v>134</v>
      </c>
      <c r="B156" s="28">
        <v>19</v>
      </c>
      <c r="C156" s="28" t="s">
        <v>617</v>
      </c>
      <c r="D156" s="28" t="s">
        <v>618</v>
      </c>
      <c r="E156" s="28">
        <f>+IFERROR(VLOOKUP(A156,TB31032020!$A$11:$C$415,2,0),0)</f>
        <v>0</v>
      </c>
      <c r="F156" s="28">
        <v>0</v>
      </c>
      <c r="G156" s="28">
        <f t="shared" si="28"/>
        <v>0</v>
      </c>
      <c r="H156" s="28">
        <f>+IFERROR(VLOOKUP(A156,TB31032020!$A$11:$C$415,3,0),0)</f>
        <v>1160</v>
      </c>
      <c r="I156" s="28">
        <v>0</v>
      </c>
      <c r="J156" s="28">
        <f t="shared" si="29"/>
        <v>1160</v>
      </c>
      <c r="K156" s="28">
        <f>+IFERROR(VLOOKUP(A156,TB310320119!$A$11:$C$422,2,0),0)</f>
        <v>0</v>
      </c>
      <c r="L156" s="28">
        <v>0</v>
      </c>
      <c r="M156" s="28">
        <f t="shared" si="30"/>
        <v>0</v>
      </c>
      <c r="N156" s="28">
        <f>+IFERROR(VLOOKUP(A156,TB310320119!$A$11:$C$421,3,0),0)</f>
        <v>0</v>
      </c>
      <c r="O156" s="28">
        <v>0</v>
      </c>
      <c r="P156" s="28">
        <f t="shared" si="22"/>
        <v>0</v>
      </c>
      <c r="Q156" s="20">
        <f t="shared" si="31"/>
        <v>2320</v>
      </c>
    </row>
    <row r="157" spans="1:17" ht="15" customHeight="1">
      <c r="A157" s="28" t="s">
        <v>135</v>
      </c>
      <c r="B157" s="28">
        <v>10</v>
      </c>
      <c r="C157" s="28" t="s">
        <v>592</v>
      </c>
      <c r="D157" s="28" t="s">
        <v>593</v>
      </c>
      <c r="E157" s="28">
        <f>+IFERROR(VLOOKUP(A157,TB31032020!$A$11:$C$415,2,0),0)</f>
        <v>1820294</v>
      </c>
      <c r="F157" s="28">
        <v>0</v>
      </c>
      <c r="G157" s="28">
        <f t="shared" si="28"/>
        <v>1820294</v>
      </c>
      <c r="H157" s="28">
        <f>+IFERROR(VLOOKUP(A157,TB31032020!$A$11:$C$415,3,0),0)</f>
        <v>0</v>
      </c>
      <c r="I157" s="28">
        <v>0</v>
      </c>
      <c r="J157" s="28">
        <f t="shared" si="29"/>
        <v>0</v>
      </c>
      <c r="K157" s="28">
        <f>+IFERROR(VLOOKUP(A157,TB310320119!$A$11:$C$422,2,0),0)</f>
        <v>1820294</v>
      </c>
      <c r="L157" s="28">
        <v>0</v>
      </c>
      <c r="M157" s="28">
        <f t="shared" si="30"/>
        <v>1820294</v>
      </c>
      <c r="N157" s="28">
        <f>+IFERROR(VLOOKUP(A157,TB310320119!$A$11:$C$421,3,0),0)</f>
        <v>0</v>
      </c>
      <c r="O157" s="28">
        <v>0</v>
      </c>
      <c r="P157" s="28">
        <f t="shared" si="22"/>
        <v>0</v>
      </c>
      <c r="Q157" s="20">
        <f t="shared" si="31"/>
        <v>7281176</v>
      </c>
    </row>
    <row r="158" spans="1:17" ht="15" customHeight="1">
      <c r="A158" s="28" t="s">
        <v>136</v>
      </c>
      <c r="B158" s="28">
        <v>7</v>
      </c>
      <c r="C158" s="28" t="s">
        <v>561</v>
      </c>
      <c r="D158" s="28" t="s">
        <v>561</v>
      </c>
      <c r="E158" s="28">
        <f>+IFERROR(VLOOKUP(A158,TB31032020!$A$11:$C$415,2,0),0)</f>
        <v>0</v>
      </c>
      <c r="F158" s="28">
        <v>0</v>
      </c>
      <c r="G158" s="28">
        <f t="shared" si="28"/>
        <v>0</v>
      </c>
      <c r="H158" s="28">
        <f>+IFERROR(VLOOKUP(A158,TB31032020!$A$11:$C$415,3,0),0)</f>
        <v>136007</v>
      </c>
      <c r="I158" s="28">
        <v>0</v>
      </c>
      <c r="J158" s="28">
        <f t="shared" si="29"/>
        <v>136007</v>
      </c>
      <c r="K158" s="28">
        <f>+IFERROR(VLOOKUP(A158,TB310320119!$A$11:$C$422,2,0),0)</f>
        <v>44880</v>
      </c>
      <c r="L158" s="28">
        <v>0</v>
      </c>
      <c r="M158" s="28">
        <f t="shared" si="30"/>
        <v>44880</v>
      </c>
      <c r="N158" s="28">
        <f>+IFERROR(VLOOKUP(A158,TB310320119!$A$11:$C$421,3,0),0)</f>
        <v>0</v>
      </c>
      <c r="O158" s="28">
        <v>0</v>
      </c>
      <c r="P158" s="28">
        <f t="shared" si="22"/>
        <v>0</v>
      </c>
      <c r="Q158" s="20">
        <f t="shared" si="31"/>
        <v>361774</v>
      </c>
    </row>
    <row r="159" spans="1:17" ht="15" customHeight="1">
      <c r="A159" s="28" t="s">
        <v>457</v>
      </c>
      <c r="B159" s="37">
        <v>7</v>
      </c>
      <c r="C159" s="37" t="s">
        <v>561</v>
      </c>
      <c r="D159" s="37" t="s">
        <v>561</v>
      </c>
      <c r="E159" s="28">
        <f>+IFERROR(VLOOKUP(A159,TB31032020!$A$11:$C$415,2,0),0)</f>
        <v>0</v>
      </c>
      <c r="F159" s="28">
        <v>0</v>
      </c>
      <c r="G159" s="28">
        <f t="shared" si="28"/>
        <v>0</v>
      </c>
      <c r="H159" s="28">
        <f>+IFERROR(VLOOKUP(A159,TB31032020!$A$11:$C$415,3,0),0)</f>
        <v>0</v>
      </c>
      <c r="I159" s="28">
        <v>0</v>
      </c>
      <c r="J159" s="28">
        <f t="shared" si="29"/>
        <v>0</v>
      </c>
      <c r="K159" s="28">
        <f>+IFERROR(VLOOKUP(A159,TB310320119!$A$11:$C$422,2,0),0)</f>
        <v>0</v>
      </c>
      <c r="L159" s="28">
        <v>0</v>
      </c>
      <c r="M159" s="28">
        <f t="shared" si="30"/>
        <v>0</v>
      </c>
      <c r="N159" s="28">
        <f>+IFERROR(VLOOKUP(A159,TB310320119!$A$11:$C$421,3,0),0)</f>
        <v>979375</v>
      </c>
      <c r="O159" s="28">
        <v>0</v>
      </c>
      <c r="P159" s="28">
        <f t="shared" si="22"/>
        <v>979375</v>
      </c>
      <c r="Q159" s="20">
        <f t="shared" si="31"/>
        <v>1958750</v>
      </c>
    </row>
    <row r="160" spans="1:17" ht="15" customHeight="1">
      <c r="A160" s="28" t="s">
        <v>137</v>
      </c>
      <c r="B160" s="46">
        <v>3</v>
      </c>
      <c r="C160" s="28" t="s">
        <v>597</v>
      </c>
      <c r="D160" s="28" t="s">
        <v>646</v>
      </c>
      <c r="E160" s="28">
        <f>+IFERROR(VLOOKUP(A160,TB31032020!$A$11:$C$415,2,0),0)</f>
        <v>0</v>
      </c>
      <c r="F160" s="28">
        <v>0</v>
      </c>
      <c r="G160" s="28">
        <f t="shared" si="28"/>
        <v>0</v>
      </c>
      <c r="H160" s="28">
        <f>+IFERROR(VLOOKUP(A160,TB31032020!$A$11:$C$415,3,0),0)</f>
        <v>1800000</v>
      </c>
      <c r="I160" s="28">
        <v>0</v>
      </c>
      <c r="J160" s="28">
        <f t="shared" si="29"/>
        <v>1800000</v>
      </c>
      <c r="K160" s="28">
        <f>+IFERROR(VLOOKUP(A160,TB310320119!$A$11:$C$422,2,0),0)</f>
        <v>0</v>
      </c>
      <c r="L160" s="28">
        <v>0</v>
      </c>
      <c r="M160" s="28">
        <f t="shared" si="30"/>
        <v>0</v>
      </c>
      <c r="N160" s="28">
        <f>+IFERROR(VLOOKUP(A160,TB310320119!$A$11:$C$421,3,0),0)</f>
        <v>1800000</v>
      </c>
      <c r="O160" s="28">
        <v>0</v>
      </c>
      <c r="P160" s="28">
        <f t="shared" si="22"/>
        <v>1800000</v>
      </c>
      <c r="Q160" s="20">
        <f t="shared" si="31"/>
        <v>7200000</v>
      </c>
    </row>
    <row r="161" spans="1:17" ht="15" customHeight="1">
      <c r="A161" s="37" t="s">
        <v>458</v>
      </c>
      <c r="B161" s="37">
        <v>7</v>
      </c>
      <c r="C161" s="37" t="s">
        <v>561</v>
      </c>
      <c r="D161" s="37" t="s">
        <v>561</v>
      </c>
      <c r="E161" s="28">
        <f>+IFERROR(VLOOKUP(A161,TB31032020!$A$11:$C$415,2,0),0)</f>
        <v>0</v>
      </c>
      <c r="F161" s="28">
        <v>0</v>
      </c>
      <c r="G161" s="28">
        <f t="shared" si="28"/>
        <v>0</v>
      </c>
      <c r="H161" s="28">
        <f>+IFERROR(VLOOKUP(A161,TB31032020!$A$11:$C$415,3,0),0)</f>
        <v>0</v>
      </c>
      <c r="I161" s="28">
        <v>0</v>
      </c>
      <c r="J161" s="28">
        <f t="shared" si="29"/>
        <v>0</v>
      </c>
      <c r="K161" s="28">
        <f>+IFERROR(VLOOKUP(A161,TB310320119!$A$11:$C$422,2,0),0)</f>
        <v>0</v>
      </c>
      <c r="L161" s="28">
        <v>0</v>
      </c>
      <c r="M161" s="28">
        <f t="shared" si="30"/>
        <v>0</v>
      </c>
      <c r="N161" s="28">
        <f>+IFERROR(VLOOKUP(A161,TB310320119!$A$11:$C$421,3,0),0)</f>
        <v>153329</v>
      </c>
      <c r="O161" s="28">
        <v>0</v>
      </c>
      <c r="P161" s="28">
        <f t="shared" si="22"/>
        <v>153329</v>
      </c>
      <c r="Q161" s="20">
        <f t="shared" si="31"/>
        <v>306658</v>
      </c>
    </row>
    <row r="162" spans="1:17" ht="15" customHeight="1">
      <c r="A162" s="28" t="s">
        <v>647</v>
      </c>
      <c r="B162" s="28">
        <v>24</v>
      </c>
      <c r="C162" s="28" t="s">
        <v>579</v>
      </c>
      <c r="D162" s="28" t="s">
        <v>638</v>
      </c>
      <c r="E162" s="28">
        <f>+IFERROR(VLOOKUP(A162,TB31032020!$A$11:$C$415,2,0),0)</f>
        <v>850764</v>
      </c>
      <c r="F162" s="28">
        <v>0</v>
      </c>
      <c r="G162" s="28">
        <f t="shared" si="28"/>
        <v>850764</v>
      </c>
      <c r="H162" s="28">
        <f>+IFERROR(VLOOKUP(A162,TB31032020!$A$11:$C$415,3,0),0)</f>
        <v>0</v>
      </c>
      <c r="I162" s="28">
        <v>0</v>
      </c>
      <c r="J162" s="28">
        <f t="shared" si="29"/>
        <v>0</v>
      </c>
      <c r="K162" s="28">
        <f>+IFERROR(VLOOKUP(A162,TB310320119!$A$11:$C$422,2,0),0)</f>
        <v>1118356</v>
      </c>
      <c r="L162" s="28">
        <v>0</v>
      </c>
      <c r="M162" s="28">
        <f t="shared" si="30"/>
        <v>1118356</v>
      </c>
      <c r="N162" s="28">
        <f>+IFERROR(VLOOKUP(A162,TB310320119!$A$11:$C$421,3,0),0)</f>
        <v>0</v>
      </c>
      <c r="O162" s="28">
        <v>0</v>
      </c>
      <c r="P162" s="28">
        <f t="shared" si="22"/>
        <v>0</v>
      </c>
      <c r="Q162" s="20">
        <f t="shared" si="31"/>
        <v>3938240</v>
      </c>
    </row>
    <row r="163" spans="1:17" ht="15" customHeight="1">
      <c r="A163" s="67" t="s">
        <v>139</v>
      </c>
      <c r="B163" s="28">
        <v>7</v>
      </c>
      <c r="C163" s="28" t="s">
        <v>561</v>
      </c>
      <c r="D163" s="28" t="s">
        <v>562</v>
      </c>
      <c r="E163" s="28">
        <f>+IFERROR(VLOOKUP(A163,TB31032020!$A$11:$C$415,2,0),0)</f>
        <v>0</v>
      </c>
      <c r="F163" s="28">
        <v>0</v>
      </c>
      <c r="G163" s="28">
        <f t="shared" si="28"/>
        <v>0</v>
      </c>
      <c r="H163" s="28">
        <f>+IFERROR(VLOOKUP(A163,TB31032020!$A$11:$C$415,3,0),0)</f>
        <v>175820</v>
      </c>
      <c r="I163" s="28">
        <v>0</v>
      </c>
      <c r="J163" s="28">
        <f t="shared" si="29"/>
        <v>175820</v>
      </c>
      <c r="K163" s="28">
        <f>+IFERROR(VLOOKUP(A163,TB310320119!$A$11:$C$422,2,0),0)</f>
        <v>0</v>
      </c>
      <c r="L163" s="28">
        <v>0</v>
      </c>
      <c r="M163" s="28">
        <f t="shared" si="30"/>
        <v>0</v>
      </c>
      <c r="N163" s="28">
        <f>+IFERROR(VLOOKUP(A163,TB310320119!$A$11:$C$421,3,0),0)</f>
        <v>0</v>
      </c>
      <c r="O163" s="28">
        <v>0</v>
      </c>
      <c r="P163" s="28">
        <f t="shared" si="22"/>
        <v>0</v>
      </c>
      <c r="Q163" s="20">
        <f t="shared" si="31"/>
        <v>351640</v>
      </c>
    </row>
    <row r="164" spans="1:17" ht="15" customHeight="1">
      <c r="A164" s="49" t="s">
        <v>140</v>
      </c>
      <c r="B164" s="28">
        <v>26</v>
      </c>
      <c r="C164" s="28" t="s">
        <v>568</v>
      </c>
      <c r="D164" s="28" t="s">
        <v>578</v>
      </c>
      <c r="E164" s="28">
        <f>+IFERROR(VLOOKUP(A164,TB31032020!$A$11:$C$415,2,0),0)</f>
        <v>25123</v>
      </c>
      <c r="F164" s="28">
        <v>0</v>
      </c>
      <c r="G164" s="28">
        <f t="shared" si="28"/>
        <v>25123</v>
      </c>
      <c r="H164" s="28">
        <f>+IFERROR(VLOOKUP(A164,TB31032020!$A$11:$C$415,3,0),0)</f>
        <v>0</v>
      </c>
      <c r="I164" s="28">
        <v>0</v>
      </c>
      <c r="J164" s="28">
        <f t="shared" si="29"/>
        <v>0</v>
      </c>
      <c r="K164" s="28">
        <f>+IFERROR(VLOOKUP(A164,TB310320119!$A$11:$C$422,2,0),0)</f>
        <v>0</v>
      </c>
      <c r="L164" s="28">
        <v>0</v>
      </c>
      <c r="M164" s="28">
        <f t="shared" si="30"/>
        <v>0</v>
      </c>
      <c r="N164" s="28">
        <f>+IFERROR(VLOOKUP(A164,TB310320119!$A$11:$C$421,3,0),0)</f>
        <v>0</v>
      </c>
      <c r="O164" s="28">
        <v>0</v>
      </c>
      <c r="P164" s="28">
        <f t="shared" si="22"/>
        <v>0</v>
      </c>
      <c r="Q164" s="20">
        <f t="shared" si="31"/>
        <v>50246</v>
      </c>
    </row>
    <row r="165" spans="1:17" ht="15" customHeight="1">
      <c r="A165" s="458" t="s">
        <v>648</v>
      </c>
      <c r="B165" s="28">
        <v>26</v>
      </c>
      <c r="C165" s="28" t="s">
        <v>568</v>
      </c>
      <c r="D165" s="28" t="s">
        <v>609</v>
      </c>
      <c r="E165" s="28">
        <f>+IFERROR(VLOOKUP(A165,TB31032020!$A$11:$C$415,2,0),0)</f>
        <v>10000</v>
      </c>
      <c r="F165" s="28">
        <v>0</v>
      </c>
      <c r="G165" s="28">
        <f t="shared" si="28"/>
        <v>10000</v>
      </c>
      <c r="H165" s="28">
        <f>+IFERROR(VLOOKUP(A165,TB31032020!$A$11:$C$415,3,0),0)</f>
        <v>0</v>
      </c>
      <c r="I165" s="28">
        <v>0</v>
      </c>
      <c r="J165" s="28">
        <f t="shared" si="29"/>
        <v>0</v>
      </c>
      <c r="K165" s="28">
        <f>+IFERROR(VLOOKUP(A165,TB310320119!$A$11:$C$422,2,0),0)</f>
        <v>30000</v>
      </c>
      <c r="L165" s="28">
        <v>0</v>
      </c>
      <c r="M165" s="28">
        <f t="shared" si="30"/>
        <v>30000</v>
      </c>
      <c r="N165" s="28">
        <f>+IFERROR(VLOOKUP(A165,TB310320119!$A$11:$C$421,3,0),0)</f>
        <v>0</v>
      </c>
      <c r="O165" s="28">
        <v>0</v>
      </c>
      <c r="P165" s="28">
        <f t="shared" si="22"/>
        <v>0</v>
      </c>
      <c r="Q165" s="20">
        <f t="shared" si="31"/>
        <v>80000</v>
      </c>
    </row>
    <row r="166" spans="1:17" ht="15" customHeight="1">
      <c r="A166" s="458" t="s">
        <v>1523</v>
      </c>
      <c r="B166" s="28">
        <v>26</v>
      </c>
      <c r="C166" s="28" t="s">
        <v>568</v>
      </c>
      <c r="D166" s="28" t="s">
        <v>609</v>
      </c>
      <c r="E166" s="28">
        <f>+IFERROR(VLOOKUP(A166,TB31032020!$A$11:$C$415,2,0),0)</f>
        <v>45000</v>
      </c>
      <c r="F166" s="28">
        <v>0</v>
      </c>
      <c r="G166" s="28">
        <f t="shared" si="28"/>
        <v>45000</v>
      </c>
      <c r="H166" s="28">
        <f>+IFERROR(VLOOKUP(A166,TB31032020!$A$11:$C$415,3,0),0)</f>
        <v>0</v>
      </c>
      <c r="I166" s="28">
        <v>0</v>
      </c>
      <c r="J166" s="28">
        <f t="shared" si="29"/>
        <v>0</v>
      </c>
      <c r="K166" s="28">
        <f>+IFERROR(VLOOKUP(A166,TB310320119!$A$11:$C$422,2,0),0)</f>
        <v>0</v>
      </c>
      <c r="L166" s="28">
        <v>0</v>
      </c>
      <c r="M166" s="28">
        <f t="shared" ref="M166:M167" si="32">K166+L166</f>
        <v>0</v>
      </c>
      <c r="N166" s="28">
        <f>+IFERROR(VLOOKUP(A166,TB310320119!$A$11:$C$421,3,0),0)</f>
        <v>0</v>
      </c>
      <c r="O166" s="28">
        <v>0</v>
      </c>
      <c r="P166" s="28">
        <f t="shared" ref="P166:P167" si="33">N166+O166</f>
        <v>0</v>
      </c>
      <c r="Q166" s="20">
        <f t="shared" ref="Q166:Q167" si="34">+SUM(E166:P166)</f>
        <v>90000</v>
      </c>
    </row>
    <row r="167" spans="1:17" ht="15" customHeight="1">
      <c r="A167" s="458" t="s">
        <v>1524</v>
      </c>
      <c r="B167" s="28">
        <v>26</v>
      </c>
      <c r="C167" s="28" t="s">
        <v>568</v>
      </c>
      <c r="D167" s="28" t="s">
        <v>609</v>
      </c>
      <c r="E167" s="28">
        <f>+IFERROR(VLOOKUP(A167,TB31032020!$A$11:$C$415,2,0),0)</f>
        <v>40000</v>
      </c>
      <c r="F167" s="28">
        <v>0</v>
      </c>
      <c r="G167" s="28">
        <f t="shared" si="28"/>
        <v>40000</v>
      </c>
      <c r="H167" s="28">
        <f>+IFERROR(VLOOKUP(A167,TB31032020!$A$11:$C$415,3,0),0)</f>
        <v>0</v>
      </c>
      <c r="I167" s="28">
        <v>0</v>
      </c>
      <c r="J167" s="28">
        <f t="shared" si="29"/>
        <v>0</v>
      </c>
      <c r="K167" s="28">
        <f>+IFERROR(VLOOKUP(A167,TB310320119!$A$11:$C$422,2,0),0)</f>
        <v>0</v>
      </c>
      <c r="L167" s="28">
        <v>0</v>
      </c>
      <c r="M167" s="28">
        <f t="shared" si="32"/>
        <v>0</v>
      </c>
      <c r="N167" s="28">
        <f>+IFERROR(VLOOKUP(A167,TB310320119!$A$11:$C$421,3,0),0)</f>
        <v>0</v>
      </c>
      <c r="O167" s="28">
        <v>0</v>
      </c>
      <c r="P167" s="28">
        <f t="shared" si="33"/>
        <v>0</v>
      </c>
      <c r="Q167" s="20">
        <f t="shared" si="34"/>
        <v>80000</v>
      </c>
    </row>
    <row r="168" spans="1:17" ht="15" customHeight="1">
      <c r="A168" s="28" t="s">
        <v>460</v>
      </c>
      <c r="B168" s="28">
        <v>26</v>
      </c>
      <c r="C168" s="28" t="s">
        <v>568</v>
      </c>
      <c r="D168" s="28" t="s">
        <v>609</v>
      </c>
      <c r="E168" s="28">
        <f>+IFERROR(VLOOKUP(A168,TB31032020!$A$11:$C$415,2,0),0)</f>
        <v>0</v>
      </c>
      <c r="F168" s="28">
        <v>0</v>
      </c>
      <c r="G168" s="28">
        <f t="shared" si="28"/>
        <v>0</v>
      </c>
      <c r="H168" s="28">
        <f>+IFERROR(VLOOKUP(A168,TB31032020!$A$11:$C$415,3,0),0)</f>
        <v>0</v>
      </c>
      <c r="I168" s="28">
        <v>0</v>
      </c>
      <c r="J168" s="28">
        <f t="shared" si="29"/>
        <v>0</v>
      </c>
      <c r="K168" s="28">
        <f>+IFERROR(VLOOKUP(A168,TB310320119!$A$11:$C$422,2,0),0)</f>
        <v>22500</v>
      </c>
      <c r="L168" s="28">
        <v>0</v>
      </c>
      <c r="M168" s="28">
        <f t="shared" si="30"/>
        <v>22500</v>
      </c>
      <c r="N168" s="28">
        <f>+IFERROR(VLOOKUP(A168,TB310320119!$A$11:$C$421,3,0),0)</f>
        <v>0</v>
      </c>
      <c r="O168" s="28">
        <v>0</v>
      </c>
      <c r="P168" s="28">
        <f t="shared" si="22"/>
        <v>0</v>
      </c>
      <c r="Q168" s="20">
        <f t="shared" si="31"/>
        <v>45000</v>
      </c>
    </row>
    <row r="169" spans="1:17" ht="15" customHeight="1">
      <c r="A169" s="28" t="s">
        <v>459</v>
      </c>
      <c r="B169" s="28">
        <v>7</v>
      </c>
      <c r="C169" s="28" t="s">
        <v>561</v>
      </c>
      <c r="D169" s="28" t="s">
        <v>562</v>
      </c>
      <c r="E169" s="28">
        <f>+IFERROR(VLOOKUP(A169,TB31032020!$A$11:$C$415,2,0),0)</f>
        <v>0</v>
      </c>
      <c r="F169" s="28">
        <v>0</v>
      </c>
      <c r="G169" s="28">
        <f t="shared" si="28"/>
        <v>0</v>
      </c>
      <c r="H169" s="28">
        <f>+IFERROR(VLOOKUP(A169,TB31032020!$A$11:$C$415,3,0),0)</f>
        <v>76500</v>
      </c>
      <c r="I169" s="28">
        <v>0</v>
      </c>
      <c r="J169" s="28">
        <f t="shared" si="29"/>
        <v>76500</v>
      </c>
      <c r="K169" s="28">
        <f>+IFERROR(VLOOKUP(A169,TB310320119!$A$11:$C$422,2,0),0)</f>
        <v>0</v>
      </c>
      <c r="L169" s="28">
        <v>0</v>
      </c>
      <c r="M169" s="28">
        <f t="shared" si="30"/>
        <v>0</v>
      </c>
      <c r="N169" s="28">
        <f>+IFERROR(VLOOKUP(A169,TB310320119!$A$11:$C$421,3,0),0)</f>
        <v>30000</v>
      </c>
      <c r="O169" s="28">
        <v>0</v>
      </c>
      <c r="P169" s="28">
        <f t="shared" si="22"/>
        <v>30000</v>
      </c>
      <c r="Q169" s="20">
        <f t="shared" si="31"/>
        <v>213000</v>
      </c>
    </row>
    <row r="170" spans="1:17" ht="15" customHeight="1">
      <c r="A170" s="49" t="s">
        <v>142</v>
      </c>
      <c r="B170" s="28">
        <v>26</v>
      </c>
      <c r="C170" s="28" t="s">
        <v>568</v>
      </c>
      <c r="D170" s="28" t="s">
        <v>578</v>
      </c>
      <c r="E170" s="28">
        <f>+IFERROR(VLOOKUP(A170,TB31032020!$A$11:$C$415,2,0),0)</f>
        <v>36000</v>
      </c>
      <c r="F170" s="28">
        <v>0</v>
      </c>
      <c r="G170" s="28">
        <f t="shared" si="28"/>
        <v>36000</v>
      </c>
      <c r="H170" s="28">
        <f>+IFERROR(VLOOKUP(A170,TB31032020!$A$11:$C$415,3,0),0)</f>
        <v>0</v>
      </c>
      <c r="I170" s="28">
        <v>0</v>
      </c>
      <c r="J170" s="28">
        <f t="shared" si="29"/>
        <v>0</v>
      </c>
      <c r="K170" s="28">
        <f>+IFERROR(VLOOKUP(A170,TB310320119!$A$11:$C$422,2,0),0)</f>
        <v>0</v>
      </c>
      <c r="L170" s="28">
        <v>0</v>
      </c>
      <c r="M170" s="28">
        <f t="shared" si="30"/>
        <v>0</v>
      </c>
      <c r="N170" s="28">
        <f>+IFERROR(VLOOKUP(A170,TB310320119!$A$11:$C$421,3,0),0)</f>
        <v>0</v>
      </c>
      <c r="O170" s="28">
        <v>0</v>
      </c>
      <c r="P170" s="28">
        <f t="shared" ref="P170:P235" si="35">N170+O170</f>
        <v>0</v>
      </c>
      <c r="Q170" s="20">
        <f t="shared" si="31"/>
        <v>72000</v>
      </c>
    </row>
    <row r="171" spans="1:17" ht="15" customHeight="1">
      <c r="A171" s="28" t="s">
        <v>143</v>
      </c>
      <c r="B171" s="28">
        <v>7</v>
      </c>
      <c r="C171" s="28" t="s">
        <v>561</v>
      </c>
      <c r="D171" s="28" t="s">
        <v>561</v>
      </c>
      <c r="E171" s="28">
        <f>+IFERROR(VLOOKUP(A171,TB31032020!$A$11:$C$415,2,0),0)</f>
        <v>0</v>
      </c>
      <c r="F171" s="28">
        <v>0</v>
      </c>
      <c r="G171" s="28">
        <f t="shared" si="28"/>
        <v>0</v>
      </c>
      <c r="H171" s="28">
        <f>+IFERROR(VLOOKUP(A171,TB31032020!$A$11:$C$415,3,0),0)</f>
        <v>2016000</v>
      </c>
      <c r="I171" s="28">
        <v>0</v>
      </c>
      <c r="J171" s="28">
        <f t="shared" si="29"/>
        <v>2016000</v>
      </c>
      <c r="K171" s="28">
        <f>+IFERROR(VLOOKUP(A171,TB310320119!$A$11:$C$422,2,0),0)</f>
        <v>0</v>
      </c>
      <c r="L171" s="28">
        <v>0</v>
      </c>
      <c r="M171" s="28">
        <f t="shared" si="30"/>
        <v>0</v>
      </c>
      <c r="N171" s="28">
        <f>+IFERROR(VLOOKUP(A171,TB310320119!$A$11:$C$421,3,0),0)</f>
        <v>0</v>
      </c>
      <c r="O171" s="28">
        <v>0</v>
      </c>
      <c r="P171" s="28">
        <f t="shared" si="35"/>
        <v>0</v>
      </c>
      <c r="Q171" s="20">
        <f t="shared" si="31"/>
        <v>4032000</v>
      </c>
    </row>
    <row r="172" spans="1:17" ht="15" customHeight="1">
      <c r="A172" s="67" t="s">
        <v>144</v>
      </c>
      <c r="B172" s="28">
        <v>7</v>
      </c>
      <c r="C172" s="28" t="s">
        <v>561</v>
      </c>
      <c r="D172" s="28" t="s">
        <v>562</v>
      </c>
      <c r="E172" s="28">
        <f>+IFERROR(VLOOKUP(A172,TB31032020!$A$11:$C$415,2,0),0)</f>
        <v>0</v>
      </c>
      <c r="F172" s="28">
        <v>0</v>
      </c>
      <c r="G172" s="28">
        <f t="shared" si="28"/>
        <v>0</v>
      </c>
      <c r="H172" s="28">
        <f>+IFERROR(VLOOKUP(A172,TB31032020!$A$11:$C$415,3,0),0)</f>
        <v>7608</v>
      </c>
      <c r="I172" s="28">
        <v>0</v>
      </c>
      <c r="J172" s="28">
        <f t="shared" si="29"/>
        <v>7608</v>
      </c>
      <c r="K172" s="28">
        <f>+IFERROR(VLOOKUP(A172,TB310320119!$A$11:$C$422,2,0),0)</f>
        <v>0</v>
      </c>
      <c r="L172" s="28">
        <v>0</v>
      </c>
      <c r="M172" s="28">
        <f t="shared" si="30"/>
        <v>0</v>
      </c>
      <c r="N172" s="28">
        <f>+IFERROR(VLOOKUP(A172,TB310320119!$A$11:$C$421,3,0),0)</f>
        <v>0</v>
      </c>
      <c r="O172" s="28">
        <v>0</v>
      </c>
      <c r="P172" s="28">
        <f t="shared" si="35"/>
        <v>0</v>
      </c>
      <c r="Q172" s="20">
        <f t="shared" si="31"/>
        <v>15216</v>
      </c>
    </row>
    <row r="173" spans="1:17" ht="15" customHeight="1">
      <c r="A173" s="28" t="s">
        <v>145</v>
      </c>
      <c r="B173" s="28">
        <v>4</v>
      </c>
      <c r="C173" s="28" t="s">
        <v>576</v>
      </c>
      <c r="D173" s="28" t="s">
        <v>577</v>
      </c>
      <c r="E173" s="28">
        <f>+IFERROR(VLOOKUP(A173,TB31032020!$A$11:$C$415,2,0),0)</f>
        <v>0</v>
      </c>
      <c r="F173" s="28">
        <v>0</v>
      </c>
      <c r="G173" s="28">
        <f t="shared" si="28"/>
        <v>0</v>
      </c>
      <c r="H173" s="28">
        <f>+IFERROR(VLOOKUP(A173,TB31032020!$A$11:$C$415,3,0),0)</f>
        <v>1093348</v>
      </c>
      <c r="I173" s="28">
        <v>0</v>
      </c>
      <c r="J173" s="28">
        <f t="shared" si="29"/>
        <v>1093348</v>
      </c>
      <c r="K173" s="28">
        <f>+IFERROR(VLOOKUP(A173,TB310320119!$A$11:$C$422,2,0),0)</f>
        <v>0</v>
      </c>
      <c r="L173" s="28">
        <v>0</v>
      </c>
      <c r="M173" s="28">
        <f t="shared" si="30"/>
        <v>0</v>
      </c>
      <c r="N173" s="28">
        <f>+IFERROR(VLOOKUP(A173,TB310320119!$A$11:$C$421,3,0),0)</f>
        <v>1000000</v>
      </c>
      <c r="O173" s="28">
        <v>0</v>
      </c>
      <c r="P173" s="28">
        <f t="shared" si="35"/>
        <v>1000000</v>
      </c>
      <c r="Q173" s="20">
        <f t="shared" si="31"/>
        <v>4186696</v>
      </c>
    </row>
    <row r="174" spans="1:17" ht="15" customHeight="1">
      <c r="A174" s="37" t="s">
        <v>649</v>
      </c>
      <c r="B174" s="28">
        <v>12</v>
      </c>
      <c r="C174" s="28" t="s">
        <v>566</v>
      </c>
      <c r="D174" s="28" t="s">
        <v>634</v>
      </c>
      <c r="E174" s="28">
        <f>+IFERROR(VLOOKUP(A174,TB31032020!$A$11:$C$415,2,0),0)</f>
        <v>38000</v>
      </c>
      <c r="F174" s="28">
        <v>0</v>
      </c>
      <c r="G174" s="28">
        <f t="shared" si="28"/>
        <v>38000</v>
      </c>
      <c r="H174" s="28">
        <f>+IFERROR(VLOOKUP(A174,TB31032020!$A$11:$C$415,3,0),0)</f>
        <v>0</v>
      </c>
      <c r="I174" s="28">
        <v>0</v>
      </c>
      <c r="J174" s="28">
        <f t="shared" si="29"/>
        <v>0</v>
      </c>
      <c r="K174" s="28">
        <f>+IFERROR(VLOOKUP(A174,TB310320119!$A$11:$C$422,2,0),0)</f>
        <v>53500</v>
      </c>
      <c r="L174" s="28">
        <v>0</v>
      </c>
      <c r="M174" s="28">
        <f t="shared" si="30"/>
        <v>53500</v>
      </c>
      <c r="N174" s="28">
        <f>+IFERROR(VLOOKUP(A174,TB310320119!$A$11:$C$421,3,0),0)</f>
        <v>0</v>
      </c>
      <c r="O174" s="28">
        <v>0</v>
      </c>
      <c r="P174" s="28">
        <f t="shared" si="35"/>
        <v>0</v>
      </c>
      <c r="Q174" s="20">
        <f t="shared" si="31"/>
        <v>183000</v>
      </c>
    </row>
    <row r="175" spans="1:17" ht="15" customHeight="1">
      <c r="A175" s="42" t="s">
        <v>147</v>
      </c>
      <c r="B175" s="28">
        <v>7</v>
      </c>
      <c r="C175" s="28" t="s">
        <v>561</v>
      </c>
      <c r="D175" s="28" t="s">
        <v>561</v>
      </c>
      <c r="E175" s="28">
        <f>+IFERROR(VLOOKUP(A175,TB31032020!$A$11:$C$415,2,0),0)</f>
        <v>0</v>
      </c>
      <c r="F175" s="28">
        <v>0</v>
      </c>
      <c r="G175" s="28">
        <f t="shared" si="28"/>
        <v>0</v>
      </c>
      <c r="H175" s="28">
        <f>+IFERROR(VLOOKUP(A175,TB31032020!$A$11:$C$415,3,0),0)</f>
        <v>67845.8</v>
      </c>
      <c r="I175" s="28">
        <v>0</v>
      </c>
      <c r="J175" s="28">
        <f t="shared" si="29"/>
        <v>67845.8</v>
      </c>
      <c r="K175" s="28">
        <f>+IFERROR(VLOOKUP(A175,TB310320119!$A$11:$C$422,2,0),0)</f>
        <v>0</v>
      </c>
      <c r="L175" s="28">
        <v>0</v>
      </c>
      <c r="M175" s="28">
        <f t="shared" si="30"/>
        <v>0</v>
      </c>
      <c r="N175" s="28">
        <f>+IFERROR(VLOOKUP(A175,TB310320119!$A$11:$C$421,3,0),0)</f>
        <v>0</v>
      </c>
      <c r="O175" s="28">
        <v>0</v>
      </c>
      <c r="P175" s="28">
        <f t="shared" si="35"/>
        <v>0</v>
      </c>
      <c r="Q175" s="20">
        <f t="shared" si="31"/>
        <v>135691.6</v>
      </c>
    </row>
    <row r="176" spans="1:17" ht="15" customHeight="1">
      <c r="A176" s="48" t="s">
        <v>461</v>
      </c>
      <c r="B176" s="28">
        <v>15</v>
      </c>
      <c r="C176" s="28" t="s">
        <v>563</v>
      </c>
      <c r="D176" s="28" t="s">
        <v>563</v>
      </c>
      <c r="E176" s="28">
        <f>+IFERROR(VLOOKUP(A176,TB31032020!$A$11:$C$415,2,0),0)</f>
        <v>0</v>
      </c>
      <c r="F176" s="28">
        <v>0</v>
      </c>
      <c r="G176" s="28">
        <f t="shared" si="28"/>
        <v>0</v>
      </c>
      <c r="H176" s="28">
        <f>+IFERROR(VLOOKUP(A176,TB31032020!$A$11:$C$415,3,0),0)</f>
        <v>0</v>
      </c>
      <c r="I176" s="28">
        <v>0</v>
      </c>
      <c r="J176" s="28">
        <f t="shared" si="29"/>
        <v>0</v>
      </c>
      <c r="K176" s="28">
        <f>+IFERROR(VLOOKUP(A176,TB310320119!$A$11:$C$422,2,0),0)</f>
        <v>1729264</v>
      </c>
      <c r="L176" s="28">
        <v>0</v>
      </c>
      <c r="M176" s="28">
        <f t="shared" si="30"/>
        <v>1729264</v>
      </c>
      <c r="N176" s="28">
        <f>+IFERROR(VLOOKUP(A176,TB310320119!$A$11:$C$421,3,0),0)</f>
        <v>0</v>
      </c>
      <c r="O176" s="28">
        <v>0</v>
      </c>
      <c r="P176" s="28">
        <f t="shared" si="35"/>
        <v>0</v>
      </c>
      <c r="Q176" s="20">
        <f t="shared" si="31"/>
        <v>3458528</v>
      </c>
    </row>
    <row r="177" spans="1:17" ht="15" customHeight="1">
      <c r="A177" s="28" t="s">
        <v>462</v>
      </c>
      <c r="B177" s="28">
        <v>26</v>
      </c>
      <c r="C177" s="28" t="s">
        <v>568</v>
      </c>
      <c r="D177" s="28" t="s">
        <v>650</v>
      </c>
      <c r="E177" s="28">
        <f>+IFERROR(VLOOKUP(A177,TB31032020!$A$11:$C$415,2,0),0)</f>
        <v>0</v>
      </c>
      <c r="F177" s="28">
        <v>0</v>
      </c>
      <c r="G177" s="28">
        <f t="shared" si="28"/>
        <v>0</v>
      </c>
      <c r="H177" s="28">
        <f>+IFERROR(VLOOKUP(A177,TB31032020!$A$11:$C$415,3,0),0)</f>
        <v>0</v>
      </c>
      <c r="I177" s="28">
        <v>0</v>
      </c>
      <c r="J177" s="28">
        <f t="shared" si="29"/>
        <v>0</v>
      </c>
      <c r="K177" s="28">
        <f>+IFERROR(VLOOKUP(A177,TB310320119!$A$11:$C$422,2,0),0)</f>
        <v>26000</v>
      </c>
      <c r="L177" s="28">
        <v>0</v>
      </c>
      <c r="M177" s="28">
        <f t="shared" si="30"/>
        <v>26000</v>
      </c>
      <c r="N177" s="28">
        <f>+IFERROR(VLOOKUP(A177,TB310320119!$A$11:$C$421,3,0),0)</f>
        <v>0</v>
      </c>
      <c r="O177" s="28">
        <v>0</v>
      </c>
      <c r="P177" s="28">
        <f t="shared" si="35"/>
        <v>0</v>
      </c>
      <c r="Q177" s="20">
        <f t="shared" si="31"/>
        <v>52000</v>
      </c>
    </row>
    <row r="178" spans="1:17" ht="15" customHeight="1">
      <c r="A178" s="28" t="s">
        <v>464</v>
      </c>
      <c r="B178" s="28">
        <v>12</v>
      </c>
      <c r="C178" s="28" t="s">
        <v>566</v>
      </c>
      <c r="D178" s="47" t="s">
        <v>1302</v>
      </c>
      <c r="E178" s="28">
        <f>+IFERROR(VLOOKUP(A178,TB31032020!$A$11:$C$415,2,0),0)</f>
        <v>0</v>
      </c>
      <c r="F178" s="28">
        <v>0</v>
      </c>
      <c r="G178" s="28">
        <f t="shared" si="28"/>
        <v>0</v>
      </c>
      <c r="H178" s="28">
        <f>+IFERROR(VLOOKUP(A178,TB31032020!$A$11:$C$415,3,0),0)</f>
        <v>0</v>
      </c>
      <c r="I178" s="28">
        <v>0</v>
      </c>
      <c r="J178" s="28">
        <f t="shared" si="29"/>
        <v>0</v>
      </c>
      <c r="K178" s="28">
        <f>+IFERROR(VLOOKUP(A178,TB310320119!$A$11:$C$422,2,0),0)</f>
        <v>10786.59</v>
      </c>
      <c r="L178" s="28">
        <v>0</v>
      </c>
      <c r="M178" s="28">
        <f t="shared" si="30"/>
        <v>10786.59</v>
      </c>
      <c r="N178" s="28">
        <f>+IFERROR(VLOOKUP(A178,TB310320119!$A$11:$C$421,3,0),0)</f>
        <v>0</v>
      </c>
      <c r="O178" s="28">
        <v>0</v>
      </c>
      <c r="P178" s="28">
        <f t="shared" si="35"/>
        <v>0</v>
      </c>
      <c r="Q178" s="20">
        <f t="shared" si="31"/>
        <v>21573.18</v>
      </c>
    </row>
    <row r="179" spans="1:17" ht="15" customHeight="1">
      <c r="A179" s="49" t="s">
        <v>148</v>
      </c>
      <c r="B179" s="28">
        <v>12</v>
      </c>
      <c r="C179" s="28" t="s">
        <v>566</v>
      </c>
      <c r="D179" s="47" t="s">
        <v>1302</v>
      </c>
      <c r="E179" s="28">
        <f>+IFERROR(VLOOKUP(A179,TB31032020!$A$11:$C$415,2,0),0)</f>
        <v>0</v>
      </c>
      <c r="F179" s="28">
        <v>0</v>
      </c>
      <c r="G179" s="28">
        <f t="shared" si="28"/>
        <v>0</v>
      </c>
      <c r="H179" s="28">
        <f>+IFERROR(VLOOKUP(A179,TB31032020!$A$11:$C$415,3,0),0)</f>
        <v>208713.56</v>
      </c>
      <c r="I179" s="28">
        <v>0</v>
      </c>
      <c r="J179" s="28">
        <f t="shared" si="29"/>
        <v>208713.56</v>
      </c>
      <c r="K179" s="28">
        <f>+IFERROR(VLOOKUP(A179,TB310320119!$A$11:$C$422,2,0),0)</f>
        <v>0</v>
      </c>
      <c r="L179" s="28">
        <v>0</v>
      </c>
      <c r="M179" s="28">
        <f t="shared" si="30"/>
        <v>0</v>
      </c>
      <c r="N179" s="28">
        <f>+IFERROR(VLOOKUP(A179,TB310320119!$A$11:$C$421,3,0),0)</f>
        <v>0</v>
      </c>
      <c r="O179" s="28">
        <v>0</v>
      </c>
      <c r="P179" s="28">
        <f t="shared" si="35"/>
        <v>0</v>
      </c>
      <c r="Q179" s="20">
        <f t="shared" si="31"/>
        <v>417427.12</v>
      </c>
    </row>
    <row r="180" spans="1:17" ht="15" customHeight="1">
      <c r="A180" s="48" t="s">
        <v>463</v>
      </c>
      <c r="B180" s="28">
        <v>12</v>
      </c>
      <c r="C180" s="28" t="s">
        <v>566</v>
      </c>
      <c r="D180" s="47" t="s">
        <v>1302</v>
      </c>
      <c r="E180" s="28">
        <f>+IFERROR(VLOOKUP(A180,TB31032020!$A$11:$C$415,2,0),0)</f>
        <v>0</v>
      </c>
      <c r="F180" s="28">
        <v>0</v>
      </c>
      <c r="G180" s="28">
        <f t="shared" si="28"/>
        <v>0</v>
      </c>
      <c r="H180" s="28">
        <f>+IFERROR(VLOOKUP(A180,TB31032020!$A$11:$C$415,3,0),0)</f>
        <v>0</v>
      </c>
      <c r="I180" s="28">
        <v>0</v>
      </c>
      <c r="J180" s="28">
        <f t="shared" si="29"/>
        <v>0</v>
      </c>
      <c r="K180" s="28">
        <f>+IFERROR(VLOOKUP(A180,TB310320119!$A$11:$C$422,2,0),0)</f>
        <v>18000</v>
      </c>
      <c r="L180" s="28">
        <v>0</v>
      </c>
      <c r="M180" s="28">
        <f t="shared" si="30"/>
        <v>18000</v>
      </c>
      <c r="N180" s="28">
        <f>+IFERROR(VLOOKUP(A180,TB310320119!$A$11:$C$421,3,0),0)</f>
        <v>0</v>
      </c>
      <c r="O180" s="28">
        <v>0</v>
      </c>
      <c r="P180" s="28">
        <f t="shared" si="35"/>
        <v>0</v>
      </c>
      <c r="Q180" s="20">
        <f t="shared" si="31"/>
        <v>36000</v>
      </c>
    </row>
    <row r="181" spans="1:17" ht="15" customHeight="1">
      <c r="A181" s="67" t="s">
        <v>149</v>
      </c>
      <c r="B181" s="28">
        <v>7</v>
      </c>
      <c r="C181" s="28" t="s">
        <v>561</v>
      </c>
      <c r="D181" s="28" t="s">
        <v>561</v>
      </c>
      <c r="E181" s="28">
        <f>+IFERROR(VLOOKUP(A181,TB31032020!$A$11:$C$415,2,0),0)</f>
        <v>0</v>
      </c>
      <c r="F181" s="28">
        <v>0</v>
      </c>
      <c r="G181" s="28">
        <f t="shared" si="28"/>
        <v>0</v>
      </c>
      <c r="H181" s="28">
        <f>+IFERROR(VLOOKUP(A181,TB31032020!$A$11:$C$415,3,0),0)</f>
        <v>1762042</v>
      </c>
      <c r="I181" s="28">
        <v>0</v>
      </c>
      <c r="J181" s="28">
        <f t="shared" si="29"/>
        <v>1762042</v>
      </c>
      <c r="K181" s="28">
        <f>+IFERROR(VLOOKUP(A181,TB310320119!$A$11:$C$422,2,0),0)</f>
        <v>0</v>
      </c>
      <c r="L181" s="28">
        <v>0</v>
      </c>
      <c r="M181" s="28">
        <f t="shared" si="30"/>
        <v>0</v>
      </c>
      <c r="N181" s="28">
        <f>+IFERROR(VLOOKUP(A181,TB310320119!$A$11:$C$421,3,0),0)</f>
        <v>0</v>
      </c>
      <c r="O181" s="28">
        <v>0</v>
      </c>
      <c r="P181" s="28">
        <f t="shared" si="35"/>
        <v>0</v>
      </c>
      <c r="Q181" s="20">
        <f t="shared" si="31"/>
        <v>3524084</v>
      </c>
    </row>
    <row r="182" spans="1:17" ht="15" customHeight="1">
      <c r="A182" s="28" t="s">
        <v>150</v>
      </c>
      <c r="B182" s="28">
        <v>22</v>
      </c>
      <c r="C182" s="28" t="s">
        <v>581</v>
      </c>
      <c r="D182" s="28" t="s">
        <v>582</v>
      </c>
      <c r="E182" s="28">
        <f>+IFERROR(VLOOKUP(A182,TB31032020!$A$11:$C$415,2,0),0)</f>
        <v>119902440.14</v>
      </c>
      <c r="F182" s="28">
        <v>0</v>
      </c>
      <c r="G182" s="28">
        <f t="shared" si="28"/>
        <v>119902440.14</v>
      </c>
      <c r="H182" s="28">
        <f>+IFERROR(VLOOKUP(A182,TB31032020!$A$11:$C$415,3,0),0)</f>
        <v>0</v>
      </c>
      <c r="I182" s="28">
        <v>0</v>
      </c>
      <c r="J182" s="28">
        <f t="shared" si="29"/>
        <v>0</v>
      </c>
      <c r="K182" s="28">
        <f>+IFERROR(VLOOKUP(A182,TB310320119!$A$11:$C$422,2,0),0)</f>
        <v>127006722.05</v>
      </c>
      <c r="L182" s="28">
        <v>0</v>
      </c>
      <c r="M182" s="28">
        <f t="shared" si="30"/>
        <v>127006722.05</v>
      </c>
      <c r="N182" s="28">
        <f>+IFERROR(VLOOKUP(A182,TB310320119!$A$11:$C$421,3,0),0)</f>
        <v>0</v>
      </c>
      <c r="O182" s="28">
        <v>0</v>
      </c>
      <c r="P182" s="28">
        <f t="shared" si="35"/>
        <v>0</v>
      </c>
      <c r="Q182" s="20">
        <f t="shared" si="31"/>
        <v>493818324.38</v>
      </c>
    </row>
    <row r="183" spans="1:17" ht="15" customHeight="1">
      <c r="A183" s="28" t="s">
        <v>151</v>
      </c>
      <c r="B183" s="28">
        <v>9</v>
      </c>
      <c r="C183" s="28" t="s">
        <v>627</v>
      </c>
      <c r="D183" s="28" t="s">
        <v>628</v>
      </c>
      <c r="E183" s="28">
        <f>+IFERROR(VLOOKUP(A183,TB31032020!$A$11:$C$415,2,0),0)</f>
        <v>0</v>
      </c>
      <c r="F183" s="28">
        <v>0</v>
      </c>
      <c r="G183" s="28">
        <f t="shared" si="28"/>
        <v>0</v>
      </c>
      <c r="H183" s="28">
        <f>+IFERROR(VLOOKUP(A183,TB31032020!$A$11:$C$415,3,0),0)</f>
        <v>1259230</v>
      </c>
      <c r="I183" s="28">
        <v>0</v>
      </c>
      <c r="J183" s="28">
        <f t="shared" si="29"/>
        <v>1259230</v>
      </c>
      <c r="K183" s="28">
        <f>+IFERROR(VLOOKUP(A183,TB310320119!$A$11:$C$422,2,0),0)</f>
        <v>0</v>
      </c>
      <c r="L183" s="28">
        <v>0</v>
      </c>
      <c r="M183" s="28">
        <f t="shared" si="30"/>
        <v>0</v>
      </c>
      <c r="N183" s="28">
        <f>+IFERROR(VLOOKUP(A183,TB310320119!$A$11:$C$421,3,0),0)</f>
        <v>1265155</v>
      </c>
      <c r="O183" s="28">
        <v>0</v>
      </c>
      <c r="P183" s="28">
        <f t="shared" si="35"/>
        <v>1265155</v>
      </c>
      <c r="Q183" s="20">
        <f t="shared" si="31"/>
        <v>5048770</v>
      </c>
    </row>
    <row r="184" spans="1:17" ht="15" customHeight="1">
      <c r="A184" s="28" t="s">
        <v>152</v>
      </c>
      <c r="B184" s="28">
        <v>24</v>
      </c>
      <c r="C184" s="28" t="s">
        <v>579</v>
      </c>
      <c r="D184" s="28" t="s">
        <v>580</v>
      </c>
      <c r="E184" s="28">
        <f>+IFERROR(VLOOKUP(A184,TB31032020!$A$11:$C$415,2,0),0)</f>
        <v>1259230</v>
      </c>
      <c r="F184" s="28">
        <v>0</v>
      </c>
      <c r="G184" s="28">
        <f t="shared" si="28"/>
        <v>1259230</v>
      </c>
      <c r="H184" s="28">
        <f>+IFERROR(VLOOKUP(A184,TB31032020!$A$11:$C$415,3,0),0)</f>
        <v>0</v>
      </c>
      <c r="I184" s="28">
        <v>0</v>
      </c>
      <c r="J184" s="28">
        <f t="shared" si="29"/>
        <v>0</v>
      </c>
      <c r="K184" s="28">
        <f>+IFERROR(VLOOKUP(A184,TB310320119!$A$11:$C$422,2,0),0)</f>
        <v>1265155</v>
      </c>
      <c r="L184" s="28">
        <v>0</v>
      </c>
      <c r="M184" s="28">
        <f t="shared" si="30"/>
        <v>1265155</v>
      </c>
      <c r="N184" s="28">
        <f>+IFERROR(VLOOKUP(A184,TB310320119!$A$11:$C$421,3,0),0)</f>
        <v>0</v>
      </c>
      <c r="O184" s="28">
        <v>0</v>
      </c>
      <c r="P184" s="28">
        <f t="shared" si="35"/>
        <v>0</v>
      </c>
      <c r="Q184" s="20">
        <f t="shared" si="31"/>
        <v>5048770</v>
      </c>
    </row>
    <row r="185" spans="1:17" ht="15" customHeight="1">
      <c r="A185" s="28" t="s">
        <v>465</v>
      </c>
      <c r="B185" s="28">
        <v>7</v>
      </c>
      <c r="C185" s="28" t="s">
        <v>561</v>
      </c>
      <c r="D185" s="28" t="s">
        <v>561</v>
      </c>
      <c r="E185" s="28">
        <f>+IFERROR(VLOOKUP(A185,TB31032020!$A$11:$C$415,2,0),0)</f>
        <v>0</v>
      </c>
      <c r="F185" s="28">
        <v>0</v>
      </c>
      <c r="G185" s="28">
        <f t="shared" si="28"/>
        <v>0</v>
      </c>
      <c r="H185" s="28">
        <f>+IFERROR(VLOOKUP(A185,TB31032020!$A$11:$C$415,3,0),0)</f>
        <v>0</v>
      </c>
      <c r="I185" s="28">
        <v>0</v>
      </c>
      <c r="J185" s="28">
        <f t="shared" si="29"/>
        <v>0</v>
      </c>
      <c r="K185" s="28">
        <f>+IFERROR(VLOOKUP(A185,TB310320119!$A$11:$C$422,2,0),0)</f>
        <v>0</v>
      </c>
      <c r="L185" s="28">
        <v>0</v>
      </c>
      <c r="M185" s="28">
        <f t="shared" si="30"/>
        <v>0</v>
      </c>
      <c r="N185" s="28">
        <f>+IFERROR(VLOOKUP(A185,TB310320119!$A$11:$C$421,3,0),0)</f>
        <v>336300</v>
      </c>
      <c r="O185" s="28">
        <v>0</v>
      </c>
      <c r="P185" s="28">
        <f t="shared" si="35"/>
        <v>336300</v>
      </c>
      <c r="Q185" s="20">
        <f t="shared" si="31"/>
        <v>672600</v>
      </c>
    </row>
    <row r="186" spans="1:17" ht="15" customHeight="1">
      <c r="A186" s="28" t="s">
        <v>153</v>
      </c>
      <c r="B186" s="28">
        <v>7</v>
      </c>
      <c r="C186" s="28" t="s">
        <v>561</v>
      </c>
      <c r="D186" s="28" t="s">
        <v>561</v>
      </c>
      <c r="E186" s="28">
        <f>+IFERROR(VLOOKUP(A186,TB31032020!$A$11:$C$415,2,0),0)</f>
        <v>0</v>
      </c>
      <c r="F186" s="28">
        <v>0</v>
      </c>
      <c r="G186" s="28">
        <f t="shared" si="28"/>
        <v>0</v>
      </c>
      <c r="H186" s="28">
        <f>+IFERROR(VLOOKUP(A186,TB31032020!$A$11:$C$415,3,0),0)</f>
        <v>102556</v>
      </c>
      <c r="I186" s="28">
        <v>0</v>
      </c>
      <c r="J186" s="28">
        <f t="shared" si="29"/>
        <v>102556</v>
      </c>
      <c r="K186" s="28">
        <f>+IFERROR(VLOOKUP(A186,TB310320119!$A$11:$C$422,2,0),0)</f>
        <v>0</v>
      </c>
      <c r="L186" s="28">
        <v>0</v>
      </c>
      <c r="M186" s="28">
        <f t="shared" si="30"/>
        <v>0</v>
      </c>
      <c r="N186" s="28">
        <f>+IFERROR(VLOOKUP(A186,TB310320119!$A$11:$C$421,3,0),0)</f>
        <v>17898</v>
      </c>
      <c r="O186" s="28">
        <v>0</v>
      </c>
      <c r="P186" s="28">
        <f t="shared" si="35"/>
        <v>17898</v>
      </c>
      <c r="Q186" s="20">
        <f t="shared" si="31"/>
        <v>240908</v>
      </c>
    </row>
    <row r="187" spans="1:17" ht="15" customHeight="1">
      <c r="A187" s="56" t="s">
        <v>154</v>
      </c>
      <c r="B187" s="28">
        <v>15</v>
      </c>
      <c r="C187" s="28" t="s">
        <v>563</v>
      </c>
      <c r="D187" s="28" t="s">
        <v>564</v>
      </c>
      <c r="E187" s="28">
        <f>+IFERROR(VLOOKUP(A187,TB31032020!$A$11:$C$415,2,0),0)</f>
        <v>238781</v>
      </c>
      <c r="F187" s="28">
        <v>0</v>
      </c>
      <c r="G187" s="28">
        <f t="shared" si="28"/>
        <v>238781</v>
      </c>
      <c r="H187" s="28">
        <f>+IFERROR(VLOOKUP(A187,TB31032020!$A$11:$C$415,3,0),0)</f>
        <v>0</v>
      </c>
      <c r="I187" s="28">
        <v>0</v>
      </c>
      <c r="J187" s="28">
        <f t="shared" si="29"/>
        <v>0</v>
      </c>
      <c r="K187" s="28">
        <f>+IFERROR(VLOOKUP(A187,TB310320119!$A$11:$C$422,2,0),0)</f>
        <v>143542</v>
      </c>
      <c r="L187" s="28">
        <v>0</v>
      </c>
      <c r="M187" s="28">
        <f t="shared" si="30"/>
        <v>143542</v>
      </c>
      <c r="N187" s="28">
        <f>+IFERROR(VLOOKUP(A187,TB310320119!$A$11:$C$421,3,0),0)</f>
        <v>0</v>
      </c>
      <c r="O187" s="28">
        <v>0</v>
      </c>
      <c r="P187" s="28">
        <f t="shared" si="35"/>
        <v>0</v>
      </c>
      <c r="Q187" s="20">
        <f t="shared" si="31"/>
        <v>764646</v>
      </c>
    </row>
    <row r="188" spans="1:17" ht="15" customHeight="1">
      <c r="A188" s="49" t="s">
        <v>155</v>
      </c>
      <c r="B188" s="28">
        <v>17</v>
      </c>
      <c r="C188" s="28" t="s">
        <v>572</v>
      </c>
      <c r="D188" s="28" t="s">
        <v>573</v>
      </c>
      <c r="E188" s="28">
        <f>+IFERROR(VLOOKUP(A188,TB31032020!$A$11:$C$415,2,0),0)</f>
        <v>932</v>
      </c>
      <c r="F188" s="28">
        <v>0</v>
      </c>
      <c r="G188" s="28">
        <f t="shared" si="28"/>
        <v>932</v>
      </c>
      <c r="H188" s="28">
        <f>+IFERROR(VLOOKUP(A188,TB31032020!$A$11:$C$415,3,0),0)</f>
        <v>0</v>
      </c>
      <c r="I188" s="28">
        <v>0</v>
      </c>
      <c r="J188" s="28">
        <f t="shared" si="29"/>
        <v>0</v>
      </c>
      <c r="K188" s="28">
        <f>+IFERROR(VLOOKUP(A188,TB310320119!$A$11:$C$422,2,0),0)</f>
        <v>0</v>
      </c>
      <c r="L188" s="28">
        <v>0</v>
      </c>
      <c r="M188" s="28">
        <f t="shared" si="30"/>
        <v>0</v>
      </c>
      <c r="N188" s="28">
        <f>+IFERROR(VLOOKUP(A188,TB310320119!$A$11:$C$421,3,0),0)</f>
        <v>0</v>
      </c>
      <c r="O188" s="28">
        <v>0</v>
      </c>
      <c r="P188" s="28">
        <f t="shared" si="35"/>
        <v>0</v>
      </c>
      <c r="Q188" s="20">
        <f t="shared" si="31"/>
        <v>1864</v>
      </c>
    </row>
    <row r="189" spans="1:17" ht="15" customHeight="1">
      <c r="A189" s="28" t="s">
        <v>651</v>
      </c>
      <c r="B189" s="28">
        <v>26</v>
      </c>
      <c r="C189" s="28" t="s">
        <v>568</v>
      </c>
      <c r="D189" s="28" t="s">
        <v>652</v>
      </c>
      <c r="E189" s="28">
        <f>+IFERROR(VLOOKUP(A189,TB31032020!$A$11:$C$415,2,0),0)</f>
        <v>86275</v>
      </c>
      <c r="F189" s="28">
        <v>0</v>
      </c>
      <c r="G189" s="28">
        <f t="shared" si="28"/>
        <v>86275</v>
      </c>
      <c r="H189" s="28">
        <f>+IFERROR(VLOOKUP(A189,TB31032020!$A$11:$C$415,3,0),0)</f>
        <v>0</v>
      </c>
      <c r="I189" s="28">
        <v>0</v>
      </c>
      <c r="J189" s="28">
        <f t="shared" si="29"/>
        <v>0</v>
      </c>
      <c r="K189" s="28">
        <f>+IFERROR(VLOOKUP(A189,TB310320119!$A$11:$C$422,2,0),0)</f>
        <v>327417</v>
      </c>
      <c r="L189" s="28">
        <v>0</v>
      </c>
      <c r="M189" s="28">
        <f t="shared" si="30"/>
        <v>327417</v>
      </c>
      <c r="N189" s="28">
        <f>+IFERROR(VLOOKUP(A189,TB310320119!$A$11:$C$421,3,0),0)</f>
        <v>0</v>
      </c>
      <c r="O189" s="28">
        <v>0</v>
      </c>
      <c r="P189" s="28">
        <f t="shared" si="35"/>
        <v>0</v>
      </c>
      <c r="Q189" s="20">
        <f t="shared" si="31"/>
        <v>827384</v>
      </c>
    </row>
    <row r="190" spans="1:17" s="44" customFormat="1" ht="20.25" customHeight="1">
      <c r="A190" s="49" t="s">
        <v>157</v>
      </c>
      <c r="B190" s="28">
        <v>26</v>
      </c>
      <c r="C190" s="28" t="s">
        <v>568</v>
      </c>
      <c r="D190" s="28" t="s">
        <v>570</v>
      </c>
      <c r="E190" s="28">
        <f>+IFERROR(VLOOKUP(A190,TB31032020!$A$11:$C$415,2,0),0)</f>
        <v>25000</v>
      </c>
      <c r="F190" s="28">
        <v>0</v>
      </c>
      <c r="G190" s="28">
        <f t="shared" si="28"/>
        <v>25000</v>
      </c>
      <c r="H190" s="28">
        <f>+IFERROR(VLOOKUP(A190,TB31032020!$A$11:$C$415,3,0),0)</f>
        <v>0</v>
      </c>
      <c r="I190" s="28">
        <v>0</v>
      </c>
      <c r="J190" s="28">
        <f t="shared" si="29"/>
        <v>0</v>
      </c>
      <c r="K190" s="28">
        <f>+IFERROR(VLOOKUP(A190,TB310320119!$A$11:$C$422,2,0),0)</f>
        <v>0</v>
      </c>
      <c r="L190" s="28">
        <v>0</v>
      </c>
      <c r="M190" s="28">
        <f t="shared" si="30"/>
        <v>0</v>
      </c>
      <c r="N190" s="28">
        <f>+IFERROR(VLOOKUP(A190,TB310320119!$A$11:$C$421,3,0),0)</f>
        <v>0</v>
      </c>
      <c r="O190" s="28">
        <v>0</v>
      </c>
      <c r="P190" s="28">
        <f t="shared" si="35"/>
        <v>0</v>
      </c>
      <c r="Q190" s="20">
        <f t="shared" si="31"/>
        <v>50000</v>
      </c>
    </row>
    <row r="191" spans="1:17" ht="15" customHeight="1">
      <c r="A191" s="28" t="s">
        <v>653</v>
      </c>
      <c r="B191" s="28">
        <v>26</v>
      </c>
      <c r="C191" s="28" t="s">
        <v>568</v>
      </c>
      <c r="D191" s="28" t="s">
        <v>654</v>
      </c>
      <c r="E191" s="28">
        <f>+IFERROR(VLOOKUP(A191,TB31032020!$A$11:$C$415,2,0),0)</f>
        <v>944137</v>
      </c>
      <c r="F191" s="28">
        <v>0</v>
      </c>
      <c r="G191" s="28">
        <f t="shared" si="28"/>
        <v>944137</v>
      </c>
      <c r="H191" s="28">
        <f>+IFERROR(VLOOKUP(A191,TB31032020!$A$11:$C$415,3,0),0)</f>
        <v>0</v>
      </c>
      <c r="I191" s="28">
        <v>0</v>
      </c>
      <c r="J191" s="28">
        <f t="shared" si="29"/>
        <v>0</v>
      </c>
      <c r="K191" s="28">
        <f>+IFERROR(VLOOKUP(A191,TB310320119!$A$11:$C$422,2,0),0)</f>
        <v>1049138</v>
      </c>
      <c r="L191" s="28">
        <v>0</v>
      </c>
      <c r="M191" s="28">
        <f t="shared" si="30"/>
        <v>1049138</v>
      </c>
      <c r="N191" s="28">
        <f>+IFERROR(VLOOKUP(A191,TB310320119!$A$11:$C$421,3,0),0)</f>
        <v>0</v>
      </c>
      <c r="O191" s="28">
        <v>0</v>
      </c>
      <c r="P191" s="28">
        <f t="shared" si="35"/>
        <v>0</v>
      </c>
      <c r="Q191" s="20">
        <f t="shared" si="31"/>
        <v>3986550</v>
      </c>
    </row>
    <row r="192" spans="1:17" ht="15" customHeight="1">
      <c r="A192" s="48" t="s">
        <v>466</v>
      </c>
      <c r="B192" s="28">
        <v>18</v>
      </c>
      <c r="C192" s="28" t="s">
        <v>655</v>
      </c>
      <c r="D192" s="28" t="s">
        <v>656</v>
      </c>
      <c r="E192" s="28">
        <f>+IFERROR(VLOOKUP(A192,TB31032020!$A$11:$C$415,2,0),0)</f>
        <v>0</v>
      </c>
      <c r="F192" s="28">
        <v>0</v>
      </c>
      <c r="G192" s="28">
        <f t="shared" si="28"/>
        <v>0</v>
      </c>
      <c r="H192" s="28">
        <f>+IFERROR(VLOOKUP(A192,TB31032020!$A$11:$C$415,3,0),0)</f>
        <v>0</v>
      </c>
      <c r="I192" s="28">
        <v>0</v>
      </c>
      <c r="J192" s="28">
        <f t="shared" si="29"/>
        <v>0</v>
      </c>
      <c r="K192" s="28">
        <f>+IFERROR(VLOOKUP(A192,TB310320119!$A$11:$C$422,2,0),0)</f>
        <v>380717</v>
      </c>
      <c r="L192" s="28">
        <v>0</v>
      </c>
      <c r="M192" s="28">
        <f t="shared" si="30"/>
        <v>380717</v>
      </c>
      <c r="N192" s="28">
        <f>+IFERROR(VLOOKUP(A192,TB310320119!$A$11:$C$421,3,0),0)</f>
        <v>0</v>
      </c>
      <c r="O192" s="28">
        <v>0</v>
      </c>
      <c r="P192" s="28">
        <f t="shared" si="35"/>
        <v>0</v>
      </c>
      <c r="Q192" s="20">
        <f t="shared" si="31"/>
        <v>761434</v>
      </c>
    </row>
    <row r="193" spans="1:17" ht="15" customHeight="1">
      <c r="A193" s="33" t="s">
        <v>159</v>
      </c>
      <c r="B193" s="28">
        <v>18</v>
      </c>
      <c r="C193" s="28" t="s">
        <v>655</v>
      </c>
      <c r="D193" s="28" t="s">
        <v>657</v>
      </c>
      <c r="E193" s="28">
        <f>+IFERROR(VLOOKUP(A193,TB31032020!$A$11:$C$415,2,0),0)</f>
        <v>414161</v>
      </c>
      <c r="F193" s="28">
        <v>0</v>
      </c>
      <c r="G193" s="28">
        <f t="shared" si="28"/>
        <v>414161</v>
      </c>
      <c r="H193" s="28">
        <f>+IFERROR(VLOOKUP(A193,TB31032020!$A$11:$C$415,3,0),0)</f>
        <v>0</v>
      </c>
      <c r="I193" s="28">
        <v>0</v>
      </c>
      <c r="J193" s="28">
        <f t="shared" si="29"/>
        <v>0</v>
      </c>
      <c r="K193" s="28">
        <f>+IFERROR(VLOOKUP(A193,TB310320119!$A$11:$C$422,2,0),0)</f>
        <v>432678</v>
      </c>
      <c r="L193" s="28">
        <v>0</v>
      </c>
      <c r="M193" s="28">
        <f t="shared" si="30"/>
        <v>432678</v>
      </c>
      <c r="N193" s="28">
        <f>+IFERROR(VLOOKUP(A193,TB310320119!$A$11:$C$421,3,0),0)</f>
        <v>0</v>
      </c>
      <c r="O193" s="28">
        <v>0</v>
      </c>
      <c r="P193" s="28">
        <f t="shared" si="35"/>
        <v>0</v>
      </c>
      <c r="Q193" s="20">
        <f t="shared" si="31"/>
        <v>1693678</v>
      </c>
    </row>
    <row r="194" spans="1:17" ht="15" customHeight="1">
      <c r="A194" s="28" t="s">
        <v>163</v>
      </c>
      <c r="B194" s="28">
        <v>20</v>
      </c>
      <c r="C194" s="28" t="s">
        <v>643</v>
      </c>
      <c r="D194" s="28" t="s">
        <v>658</v>
      </c>
      <c r="E194" s="28">
        <f>+IFERROR(VLOOKUP(A194,TB31032020!$A$11:$C$415,2,0),0)</f>
        <v>0</v>
      </c>
      <c r="F194" s="28">
        <v>0</v>
      </c>
      <c r="G194" s="28">
        <f t="shared" si="28"/>
        <v>0</v>
      </c>
      <c r="H194" s="28">
        <f>+IFERROR(VLOOKUP(A194,TB31032020!$A$11:$C$415,3,0),0)</f>
        <v>169041</v>
      </c>
      <c r="I194" s="28">
        <v>0</v>
      </c>
      <c r="J194" s="28">
        <f t="shared" si="29"/>
        <v>169041</v>
      </c>
      <c r="K194" s="28">
        <f>+IFERROR(VLOOKUP(A194,TB310320119!$A$11:$C$422,2,0),0)</f>
        <v>0</v>
      </c>
      <c r="L194" s="28">
        <v>0</v>
      </c>
      <c r="M194" s="28">
        <f t="shared" si="30"/>
        <v>0</v>
      </c>
      <c r="N194" s="28">
        <f>+IFERROR(VLOOKUP(A194,TB310320119!$A$11:$C$421,3,0),0)</f>
        <v>183449.05</v>
      </c>
      <c r="O194" s="28"/>
      <c r="P194" s="28">
        <f t="shared" si="35"/>
        <v>183449.05</v>
      </c>
      <c r="Q194" s="20">
        <f t="shared" si="31"/>
        <v>704980.1</v>
      </c>
    </row>
    <row r="195" spans="1:17" ht="15" customHeight="1">
      <c r="A195" s="28" t="s">
        <v>643</v>
      </c>
      <c r="B195" s="28">
        <v>20</v>
      </c>
      <c r="C195" s="28" t="s">
        <v>643</v>
      </c>
      <c r="D195" s="28" t="s">
        <v>643</v>
      </c>
      <c r="E195" s="28">
        <f>+IFERROR(VLOOKUP(A195,TB31032020!$A$11:$C$415,2,0),0)</f>
        <v>0</v>
      </c>
      <c r="F195" s="28">
        <v>0</v>
      </c>
      <c r="G195" s="28">
        <f t="shared" si="28"/>
        <v>0</v>
      </c>
      <c r="H195" s="28">
        <f>+IFERROR(VLOOKUP(A195,TB31032020!$A$11:$C$415,3,0),0)</f>
        <v>490</v>
      </c>
      <c r="I195" s="28">
        <v>0</v>
      </c>
      <c r="J195" s="28">
        <f t="shared" si="29"/>
        <v>490</v>
      </c>
      <c r="K195" s="28">
        <f>+IFERROR(VLOOKUP(A195,TB310320119!$A$11:$C$422,2,0),0)</f>
        <v>0</v>
      </c>
      <c r="L195" s="28">
        <v>0</v>
      </c>
      <c r="M195" s="28">
        <f t="shared" ref="M195:M196" si="36">K195+L195</f>
        <v>0</v>
      </c>
      <c r="N195" s="28">
        <f>+IFERROR(VLOOKUP(A195,TB310320119!$A$11:$C$421,3,0),0)</f>
        <v>0</v>
      </c>
      <c r="O195" s="28"/>
      <c r="P195" s="28"/>
      <c r="Q195" s="20"/>
    </row>
    <row r="196" spans="1:17" ht="15" customHeight="1">
      <c r="A196" s="28" t="s">
        <v>1310</v>
      </c>
      <c r="B196" s="28">
        <v>20</v>
      </c>
      <c r="C196" s="28" t="s">
        <v>643</v>
      </c>
      <c r="D196" s="28" t="s">
        <v>643</v>
      </c>
      <c r="E196" s="28">
        <f>+IFERROR(VLOOKUP(A196,TB31032020!$A$11:$C$415,2,0),0)</f>
        <v>0</v>
      </c>
      <c r="F196" s="28">
        <v>0</v>
      </c>
      <c r="G196" s="28">
        <f t="shared" si="28"/>
        <v>0</v>
      </c>
      <c r="H196" s="28">
        <f>+IFERROR(VLOOKUP(A196,TB31032020!$A$11:$C$415,3,0),0)</f>
        <v>8724</v>
      </c>
      <c r="I196" s="28">
        <v>0</v>
      </c>
      <c r="J196" s="28">
        <f t="shared" si="29"/>
        <v>8724</v>
      </c>
      <c r="K196" s="28">
        <f>+IFERROR(VLOOKUP(A196,TB310320119!$A$11:$C$422,2,0),0)</f>
        <v>0</v>
      </c>
      <c r="L196" s="28">
        <v>0</v>
      </c>
      <c r="M196" s="28">
        <f t="shared" si="36"/>
        <v>0</v>
      </c>
      <c r="N196" s="28">
        <f>+IFERROR(VLOOKUP(A196,TB310320119!$A$11:$C$421,3,0),0)</f>
        <v>0</v>
      </c>
      <c r="O196" s="28"/>
      <c r="P196" s="28"/>
      <c r="Q196" s="20"/>
    </row>
    <row r="197" spans="1:17" ht="15" customHeight="1">
      <c r="A197" s="28" t="s">
        <v>467</v>
      </c>
      <c r="B197" s="28">
        <v>26</v>
      </c>
      <c r="C197" s="28" t="s">
        <v>568</v>
      </c>
      <c r="D197" s="28" t="s">
        <v>569</v>
      </c>
      <c r="E197" s="28">
        <f>+IFERROR(VLOOKUP(A197,TB31032020!$A$11:$C$415,2,0),0)</f>
        <v>0</v>
      </c>
      <c r="F197" s="28">
        <v>0</v>
      </c>
      <c r="G197" s="28">
        <f t="shared" si="28"/>
        <v>0</v>
      </c>
      <c r="H197" s="28">
        <f>+IFERROR(VLOOKUP(A197,TB31032020!$A$11:$C$415,3,0),0)</f>
        <v>0</v>
      </c>
      <c r="I197" s="28">
        <v>0</v>
      </c>
      <c r="J197" s="28">
        <f t="shared" si="29"/>
        <v>0</v>
      </c>
      <c r="K197" s="28">
        <f>+IFERROR(VLOOKUP(A197,TB310320119!$A$11:$C$422,2,0),0)</f>
        <v>25345</v>
      </c>
      <c r="L197" s="28">
        <v>0</v>
      </c>
      <c r="M197" s="28">
        <f t="shared" si="30"/>
        <v>25345</v>
      </c>
      <c r="N197" s="28">
        <f>+IFERROR(VLOOKUP(A197,TB310320119!$A$11:$C$421,3,0),0)</f>
        <v>0</v>
      </c>
      <c r="O197" s="28">
        <v>0</v>
      </c>
      <c r="P197" s="28">
        <f t="shared" si="35"/>
        <v>0</v>
      </c>
      <c r="Q197" s="20">
        <f t="shared" si="31"/>
        <v>50690</v>
      </c>
    </row>
    <row r="198" spans="1:17" ht="15" customHeight="1">
      <c r="A198" s="33" t="s">
        <v>659</v>
      </c>
      <c r="B198" s="28">
        <v>20</v>
      </c>
      <c r="C198" s="57" t="s">
        <v>643</v>
      </c>
      <c r="D198" s="57" t="s">
        <v>643</v>
      </c>
      <c r="E198" s="28">
        <f>+IFERROR(VLOOKUP(A198,TB31032020!$A$11:$C$415,2,0),0)</f>
        <v>0</v>
      </c>
      <c r="F198" s="28">
        <v>0</v>
      </c>
      <c r="G198" s="28">
        <f t="shared" si="28"/>
        <v>0</v>
      </c>
      <c r="H198" s="28">
        <f>+IFERROR(VLOOKUP(A198,TB31032020!$A$11:$C$415,3,0),0)</f>
        <v>0</v>
      </c>
      <c r="I198" s="28">
        <v>0</v>
      </c>
      <c r="J198" s="28">
        <f t="shared" si="29"/>
        <v>0</v>
      </c>
      <c r="K198" s="28">
        <f>+IFERROR(VLOOKUP(A198,TB310320119!$A$11:$C$422,2,0),0)</f>
        <v>0</v>
      </c>
      <c r="L198" s="28"/>
      <c r="M198" s="28">
        <f t="shared" si="30"/>
        <v>0</v>
      </c>
      <c r="N198" s="28">
        <f>+IFERROR(VLOOKUP(A198,TB310320119!$A$11:$C$421,3,0),0)</f>
        <v>0</v>
      </c>
      <c r="O198" s="28">
        <v>0</v>
      </c>
      <c r="P198" s="28">
        <f t="shared" si="35"/>
        <v>0</v>
      </c>
      <c r="Q198" s="20">
        <f t="shared" si="31"/>
        <v>0</v>
      </c>
    </row>
    <row r="199" spans="1:17" ht="15" customHeight="1">
      <c r="A199" s="33" t="s">
        <v>160</v>
      </c>
      <c r="B199" s="28">
        <v>25</v>
      </c>
      <c r="C199" s="28" t="s">
        <v>589</v>
      </c>
      <c r="D199" s="28" t="s">
        <v>660</v>
      </c>
      <c r="E199" s="28">
        <f>+IFERROR(VLOOKUP(A199,TB31032020!$A$11:$C$415,2,0),0)</f>
        <v>3023</v>
      </c>
      <c r="F199" s="28">
        <v>0</v>
      </c>
      <c r="G199" s="28">
        <f t="shared" ref="G199:G262" si="37">+E199+F199</f>
        <v>3023</v>
      </c>
      <c r="H199" s="28">
        <f>+IFERROR(VLOOKUP(A199,TB31032020!$A$11:$C$415,3,0),0)</f>
        <v>0</v>
      </c>
      <c r="I199" s="28">
        <v>0</v>
      </c>
      <c r="J199" s="28">
        <f t="shared" ref="J199:J262" si="38">+H199+I199</f>
        <v>0</v>
      </c>
      <c r="K199" s="28">
        <f>+IFERROR(VLOOKUP(A199,TB310320119!$A$11:$C$422,2,0),0)</f>
        <v>16003</v>
      </c>
      <c r="L199" s="28">
        <v>0</v>
      </c>
      <c r="M199" s="28">
        <f t="shared" si="30"/>
        <v>16003</v>
      </c>
      <c r="N199" s="28">
        <f>+IFERROR(VLOOKUP(A199,TB310320119!$A$11:$C$421,3,0),0)</f>
        <v>0</v>
      </c>
      <c r="O199" s="28">
        <v>0</v>
      </c>
      <c r="P199" s="28">
        <f t="shared" si="35"/>
        <v>0</v>
      </c>
      <c r="Q199" s="20">
        <f t="shared" si="31"/>
        <v>38052</v>
      </c>
    </row>
    <row r="200" spans="1:17" ht="15" customHeight="1">
      <c r="A200" s="29" t="s">
        <v>161</v>
      </c>
      <c r="B200" s="28">
        <v>25</v>
      </c>
      <c r="C200" s="28" t="s">
        <v>589</v>
      </c>
      <c r="D200" s="28" t="s">
        <v>660</v>
      </c>
      <c r="E200" s="28">
        <f>+IFERROR(VLOOKUP(A200,TB31032020!$A$11:$C$415,2,0),0)</f>
        <v>29695</v>
      </c>
      <c r="F200" s="28">
        <v>0</v>
      </c>
      <c r="G200" s="28">
        <f t="shared" si="37"/>
        <v>29695</v>
      </c>
      <c r="H200" s="28">
        <f>+IFERROR(VLOOKUP(A200,TB31032020!$A$11:$C$415,3,0),0)</f>
        <v>0</v>
      </c>
      <c r="I200" s="28">
        <v>0</v>
      </c>
      <c r="J200" s="28">
        <f t="shared" si="38"/>
        <v>0</v>
      </c>
      <c r="K200" s="28">
        <f>+IFERROR(VLOOKUP(A200,TB310320119!$A$11:$C$422,2,0),0)</f>
        <v>53707</v>
      </c>
      <c r="L200" s="28">
        <v>0</v>
      </c>
      <c r="M200" s="28">
        <f t="shared" si="30"/>
        <v>53707</v>
      </c>
      <c r="N200" s="28">
        <f>+IFERROR(VLOOKUP(A200,TB310320119!$A$11:$C$421,3,0),0)</f>
        <v>0</v>
      </c>
      <c r="O200" s="28">
        <v>0</v>
      </c>
      <c r="P200" s="28">
        <f t="shared" si="35"/>
        <v>0</v>
      </c>
      <c r="Q200" s="20">
        <f t="shared" si="31"/>
        <v>166804</v>
      </c>
    </row>
    <row r="201" spans="1:17" ht="15" customHeight="1">
      <c r="A201" s="29" t="s">
        <v>162</v>
      </c>
      <c r="B201" s="28">
        <v>25</v>
      </c>
      <c r="C201" s="28" t="s">
        <v>589</v>
      </c>
      <c r="D201" s="28" t="s">
        <v>660</v>
      </c>
      <c r="E201" s="28">
        <f>+IFERROR(VLOOKUP(A201,TB31032020!$A$11:$C$415,2,0),0)</f>
        <v>38511</v>
      </c>
      <c r="F201" s="28">
        <v>0</v>
      </c>
      <c r="G201" s="28">
        <f t="shared" si="37"/>
        <v>38511</v>
      </c>
      <c r="H201" s="28">
        <f>+IFERROR(VLOOKUP(A201,TB31032020!$A$11:$C$415,3,0),0)</f>
        <v>0</v>
      </c>
      <c r="I201" s="28">
        <v>0</v>
      </c>
      <c r="J201" s="28">
        <f t="shared" si="38"/>
        <v>0</v>
      </c>
      <c r="K201" s="28">
        <f>+IFERROR(VLOOKUP(A201,TB310320119!$A$11:$C$422,2,0),0)</f>
        <v>58427</v>
      </c>
      <c r="L201" s="28">
        <v>0</v>
      </c>
      <c r="M201" s="28">
        <f t="shared" si="30"/>
        <v>58427</v>
      </c>
      <c r="N201" s="28">
        <f>+IFERROR(VLOOKUP(A201,TB310320119!$A$11:$C$421,3,0),0)</f>
        <v>0</v>
      </c>
      <c r="O201" s="28">
        <v>0</v>
      </c>
      <c r="P201" s="28">
        <f t="shared" si="35"/>
        <v>0</v>
      </c>
      <c r="Q201" s="20">
        <f t="shared" si="31"/>
        <v>193876</v>
      </c>
    </row>
    <row r="202" spans="1:17" ht="15" customHeight="1">
      <c r="A202" s="29" t="s">
        <v>164</v>
      </c>
      <c r="B202" s="28">
        <v>25</v>
      </c>
      <c r="C202" s="28" t="s">
        <v>589</v>
      </c>
      <c r="D202" s="28" t="s">
        <v>660</v>
      </c>
      <c r="E202" s="28">
        <f>+IFERROR(VLOOKUP(A202,TB31032020!$A$11:$C$415,2,0),0)</f>
        <v>672181</v>
      </c>
      <c r="F202" s="28">
        <v>0</v>
      </c>
      <c r="G202" s="28">
        <f t="shared" si="37"/>
        <v>672181</v>
      </c>
      <c r="H202" s="28">
        <f>+IFERROR(VLOOKUP(A202,TB31032020!$A$11:$C$415,3,0),0)</f>
        <v>0</v>
      </c>
      <c r="I202" s="28">
        <v>0</v>
      </c>
      <c r="J202" s="28">
        <f t="shared" si="38"/>
        <v>0</v>
      </c>
      <c r="K202" s="28">
        <f>+IFERROR(VLOOKUP(A202,TB310320119!$A$11:$C$422,2,0),0)</f>
        <v>1002896</v>
      </c>
      <c r="L202" s="28">
        <v>0</v>
      </c>
      <c r="M202" s="28">
        <f t="shared" si="30"/>
        <v>1002896</v>
      </c>
      <c r="N202" s="28">
        <f>+IFERROR(VLOOKUP(A202,TB310320119!$A$11:$C$421,3,0),0)</f>
        <v>0</v>
      </c>
      <c r="O202" s="28">
        <v>0</v>
      </c>
      <c r="P202" s="28">
        <f t="shared" si="35"/>
        <v>0</v>
      </c>
      <c r="Q202" s="20">
        <f t="shared" si="31"/>
        <v>3350154</v>
      </c>
    </row>
    <row r="203" spans="1:17" ht="15" customHeight="1">
      <c r="A203" s="29" t="s">
        <v>165</v>
      </c>
      <c r="B203" s="28">
        <v>25</v>
      </c>
      <c r="C203" s="28" t="s">
        <v>589</v>
      </c>
      <c r="D203" s="28" t="s">
        <v>660</v>
      </c>
      <c r="E203" s="28">
        <f>+IFERROR(VLOOKUP(A203,TB31032020!$A$11:$C$415,2,0),0)</f>
        <v>867002</v>
      </c>
      <c r="F203" s="28">
        <v>0</v>
      </c>
      <c r="G203" s="28">
        <f t="shared" si="37"/>
        <v>867002</v>
      </c>
      <c r="H203" s="28">
        <f>+IFERROR(VLOOKUP(A203,TB31032020!$A$11:$C$415,3,0),0)</f>
        <v>0</v>
      </c>
      <c r="I203" s="28">
        <v>0</v>
      </c>
      <c r="J203" s="28">
        <f t="shared" si="38"/>
        <v>0</v>
      </c>
      <c r="K203" s="28">
        <f>+IFERROR(VLOOKUP(A203,TB310320119!$A$11:$C$422,2,0),0)</f>
        <v>1332922</v>
      </c>
      <c r="L203" s="28">
        <v>0</v>
      </c>
      <c r="M203" s="28">
        <f t="shared" si="30"/>
        <v>1332922</v>
      </c>
      <c r="N203" s="28">
        <f>+IFERROR(VLOOKUP(A203,TB310320119!$A$11:$C$421,3,0),0)</f>
        <v>0</v>
      </c>
      <c r="O203" s="28">
        <v>0</v>
      </c>
      <c r="P203" s="28">
        <f t="shared" si="35"/>
        <v>0</v>
      </c>
      <c r="Q203" s="20">
        <f t="shared" si="31"/>
        <v>4399848</v>
      </c>
    </row>
    <row r="204" spans="1:17" ht="15" customHeight="1">
      <c r="A204" s="34" t="s">
        <v>166</v>
      </c>
      <c r="B204" s="28">
        <v>26</v>
      </c>
      <c r="C204" s="28" t="s">
        <v>568</v>
      </c>
      <c r="D204" s="28" t="s">
        <v>569</v>
      </c>
      <c r="E204" s="28">
        <f>+IFERROR(VLOOKUP(A204,TB31032020!$A$11:$C$415,2,0),0)</f>
        <v>5436</v>
      </c>
      <c r="F204" s="28">
        <v>0</v>
      </c>
      <c r="G204" s="28">
        <f t="shared" si="37"/>
        <v>5436</v>
      </c>
      <c r="H204" s="28">
        <f>+IFERROR(VLOOKUP(A204,TB31032020!$A$11:$C$415,3,0),0)</f>
        <v>0</v>
      </c>
      <c r="I204" s="28">
        <v>0</v>
      </c>
      <c r="J204" s="28">
        <f t="shared" si="38"/>
        <v>0</v>
      </c>
      <c r="K204" s="28">
        <f>+IFERROR(VLOOKUP(A204,TB310320119!$A$11:$C$422,2,0),0)</f>
        <v>3632</v>
      </c>
      <c r="L204" s="28">
        <v>0</v>
      </c>
      <c r="M204" s="28">
        <f t="shared" si="30"/>
        <v>3632</v>
      </c>
      <c r="N204" s="28">
        <f>+IFERROR(VLOOKUP(A204,TB310320119!$A$11:$C$421,3,0),0)</f>
        <v>0</v>
      </c>
      <c r="O204" s="28">
        <v>0</v>
      </c>
      <c r="P204" s="28">
        <f t="shared" si="35"/>
        <v>0</v>
      </c>
      <c r="Q204" s="20">
        <f t="shared" si="31"/>
        <v>18136</v>
      </c>
    </row>
    <row r="205" spans="1:17" ht="15" customHeight="1">
      <c r="A205" s="33" t="s">
        <v>167</v>
      </c>
      <c r="B205" s="28">
        <v>26</v>
      </c>
      <c r="C205" s="28" t="s">
        <v>568</v>
      </c>
      <c r="D205" s="28" t="s">
        <v>569</v>
      </c>
      <c r="E205" s="28">
        <f>+IFERROR(VLOOKUP(A205,TB31032020!$A$11:$C$415,2,0),0)</f>
        <v>27865</v>
      </c>
      <c r="F205" s="28">
        <v>0</v>
      </c>
      <c r="G205" s="28">
        <f t="shared" si="37"/>
        <v>27865</v>
      </c>
      <c r="H205" s="28">
        <f>+IFERROR(VLOOKUP(A205,TB31032020!$A$11:$C$415,3,0),0)</f>
        <v>0</v>
      </c>
      <c r="I205" s="28">
        <v>0</v>
      </c>
      <c r="J205" s="28">
        <f t="shared" si="38"/>
        <v>0</v>
      </c>
      <c r="K205" s="28">
        <f>+IFERROR(VLOOKUP(A205,TB310320119!$A$11:$C$422,2,0),0)</f>
        <v>17476</v>
      </c>
      <c r="L205" s="28">
        <v>0</v>
      </c>
      <c r="M205" s="28">
        <f t="shared" si="30"/>
        <v>17476</v>
      </c>
      <c r="N205" s="28">
        <f>+IFERROR(VLOOKUP(A205,TB310320119!$A$11:$C$421,3,0),0)</f>
        <v>0</v>
      </c>
      <c r="O205" s="28">
        <v>0</v>
      </c>
      <c r="P205" s="28">
        <f t="shared" si="35"/>
        <v>0</v>
      </c>
      <c r="Q205" s="20">
        <f t="shared" si="31"/>
        <v>90682</v>
      </c>
    </row>
    <row r="206" spans="1:17" ht="15" customHeight="1">
      <c r="A206" s="34" t="s">
        <v>168</v>
      </c>
      <c r="B206" s="28">
        <v>26</v>
      </c>
      <c r="C206" s="28" t="s">
        <v>568</v>
      </c>
      <c r="D206" s="28" t="s">
        <v>569</v>
      </c>
      <c r="E206" s="28">
        <f>+IFERROR(VLOOKUP(A206,TB31032020!$A$11:$C$415,2,0),0)</f>
        <v>2414</v>
      </c>
      <c r="F206" s="28">
        <v>0</v>
      </c>
      <c r="G206" s="28">
        <f t="shared" si="37"/>
        <v>2414</v>
      </c>
      <c r="H206" s="28">
        <f>+IFERROR(VLOOKUP(A206,TB31032020!$A$11:$C$415,3,0),0)</f>
        <v>0</v>
      </c>
      <c r="I206" s="28">
        <v>0</v>
      </c>
      <c r="J206" s="28">
        <f t="shared" si="38"/>
        <v>0</v>
      </c>
      <c r="K206" s="28">
        <f>+IFERROR(VLOOKUP(A206,TB310320119!$A$11:$C$422,2,0),0)</f>
        <v>38</v>
      </c>
      <c r="L206" s="28">
        <v>0</v>
      </c>
      <c r="M206" s="28">
        <f t="shared" ref="M206:M269" si="39">K206+L206</f>
        <v>38</v>
      </c>
      <c r="N206" s="28">
        <f>+IFERROR(VLOOKUP(A206,TB310320119!$A$11:$C$421,3,0),0)</f>
        <v>0</v>
      </c>
      <c r="O206" s="28">
        <v>0</v>
      </c>
      <c r="P206" s="28">
        <f t="shared" si="35"/>
        <v>0</v>
      </c>
      <c r="Q206" s="20">
        <f t="shared" ref="Q206:Q269" si="40">+SUM(E206:P206)</f>
        <v>4904</v>
      </c>
    </row>
    <row r="207" spans="1:17" ht="15" customHeight="1">
      <c r="A207" s="33" t="s">
        <v>169</v>
      </c>
      <c r="B207" s="28">
        <v>26</v>
      </c>
      <c r="C207" s="28" t="s">
        <v>568</v>
      </c>
      <c r="D207" s="28" t="s">
        <v>569</v>
      </c>
      <c r="E207" s="28">
        <f>+IFERROR(VLOOKUP(A207,TB31032020!$A$11:$C$415,2,0),0)</f>
        <v>285659</v>
      </c>
      <c r="F207" s="28">
        <v>0</v>
      </c>
      <c r="G207" s="28">
        <f t="shared" si="37"/>
        <v>285659</v>
      </c>
      <c r="H207" s="28">
        <f>+IFERROR(VLOOKUP(A207,TB31032020!$A$11:$C$415,3,0),0)</f>
        <v>0</v>
      </c>
      <c r="I207" s="28">
        <v>0</v>
      </c>
      <c r="J207" s="28">
        <f t="shared" si="38"/>
        <v>0</v>
      </c>
      <c r="K207" s="28">
        <f>+IFERROR(VLOOKUP(A207,TB310320119!$A$11:$C$422,2,0),0)</f>
        <v>263266.87</v>
      </c>
      <c r="L207" s="28">
        <v>0</v>
      </c>
      <c r="M207" s="28">
        <f t="shared" si="39"/>
        <v>263266.87</v>
      </c>
      <c r="N207" s="28">
        <f>+IFERROR(VLOOKUP(A207,TB310320119!$A$11:$C$421,3,0),0)</f>
        <v>0</v>
      </c>
      <c r="O207" s="28">
        <v>0</v>
      </c>
      <c r="P207" s="28">
        <f t="shared" si="35"/>
        <v>0</v>
      </c>
      <c r="Q207" s="20">
        <f t="shared" si="40"/>
        <v>1097851.74</v>
      </c>
    </row>
    <row r="208" spans="1:17" ht="15" customHeight="1">
      <c r="A208" s="34" t="s">
        <v>170</v>
      </c>
      <c r="B208" s="28">
        <v>26</v>
      </c>
      <c r="C208" s="28" t="s">
        <v>568</v>
      </c>
      <c r="D208" s="28" t="s">
        <v>569</v>
      </c>
      <c r="E208" s="28">
        <f>+IFERROR(VLOOKUP(A208,TB31032020!$A$11:$C$415,2,0),0)</f>
        <v>200</v>
      </c>
      <c r="F208" s="28">
        <v>0</v>
      </c>
      <c r="G208" s="28">
        <f t="shared" si="37"/>
        <v>200</v>
      </c>
      <c r="H208" s="28">
        <f>+IFERROR(VLOOKUP(A208,TB31032020!$A$11:$C$415,3,0),0)</f>
        <v>0</v>
      </c>
      <c r="I208" s="28">
        <v>0</v>
      </c>
      <c r="J208" s="28">
        <f t="shared" si="38"/>
        <v>0</v>
      </c>
      <c r="K208" s="28">
        <f>+IFERROR(VLOOKUP(A208,TB310320119!$A$11:$C$422,2,0),0)</f>
        <v>410</v>
      </c>
      <c r="L208" s="28">
        <v>0</v>
      </c>
      <c r="M208" s="28">
        <f t="shared" si="39"/>
        <v>410</v>
      </c>
      <c r="N208" s="28">
        <f>+IFERROR(VLOOKUP(A208,TB310320119!$A$11:$C$421,3,0),0)</f>
        <v>0</v>
      </c>
      <c r="O208" s="28">
        <v>0</v>
      </c>
      <c r="P208" s="28">
        <f t="shared" si="35"/>
        <v>0</v>
      </c>
      <c r="Q208" s="20">
        <f t="shared" si="40"/>
        <v>1220</v>
      </c>
    </row>
    <row r="209" spans="1:17" ht="15" customHeight="1">
      <c r="A209" s="60" t="s">
        <v>171</v>
      </c>
      <c r="B209" s="28">
        <v>26</v>
      </c>
      <c r="C209" s="28" t="s">
        <v>568</v>
      </c>
      <c r="D209" s="28" t="s">
        <v>569</v>
      </c>
      <c r="E209" s="28">
        <f>+IFERROR(VLOOKUP(A209,TB31032020!$A$11:$C$415,2,0),0)</f>
        <v>5485</v>
      </c>
      <c r="F209" s="28">
        <v>0</v>
      </c>
      <c r="G209" s="28">
        <f t="shared" si="37"/>
        <v>5485</v>
      </c>
      <c r="H209" s="28">
        <f>+IFERROR(VLOOKUP(A209,TB31032020!$A$11:$C$415,3,0),0)</f>
        <v>0</v>
      </c>
      <c r="I209" s="28">
        <v>0</v>
      </c>
      <c r="J209" s="28">
        <f t="shared" si="38"/>
        <v>0</v>
      </c>
      <c r="K209" s="28">
        <f>+IFERROR(VLOOKUP(A209,TB310320119!$A$11:$C$422,2,0),0)</f>
        <v>0</v>
      </c>
      <c r="L209" s="28">
        <v>0</v>
      </c>
      <c r="M209" s="28">
        <f t="shared" si="39"/>
        <v>0</v>
      </c>
      <c r="N209" s="28">
        <f>+IFERROR(VLOOKUP(A209,TB310320119!$A$11:$C$421,3,0),0)</f>
        <v>0</v>
      </c>
      <c r="O209" s="28">
        <v>0</v>
      </c>
      <c r="P209" s="28">
        <f t="shared" si="35"/>
        <v>0</v>
      </c>
      <c r="Q209" s="20">
        <f t="shared" si="40"/>
        <v>10970</v>
      </c>
    </row>
    <row r="210" spans="1:17" ht="15" customHeight="1">
      <c r="A210" s="33" t="s">
        <v>172</v>
      </c>
      <c r="B210" s="28">
        <v>26</v>
      </c>
      <c r="C210" s="28" t="s">
        <v>568</v>
      </c>
      <c r="D210" s="28" t="s">
        <v>569</v>
      </c>
      <c r="E210" s="28">
        <f>+IFERROR(VLOOKUP(A210,TB31032020!$A$11:$C$415,2,0),0)</f>
        <v>29250</v>
      </c>
      <c r="F210" s="28">
        <v>0</v>
      </c>
      <c r="G210" s="28">
        <f t="shared" si="37"/>
        <v>29250</v>
      </c>
      <c r="H210" s="28">
        <f>+IFERROR(VLOOKUP(A210,TB31032020!$A$11:$C$415,3,0),0)</f>
        <v>0</v>
      </c>
      <c r="I210" s="28">
        <v>0</v>
      </c>
      <c r="J210" s="28">
        <f t="shared" si="38"/>
        <v>0</v>
      </c>
      <c r="K210" s="28">
        <f>+IFERROR(VLOOKUP(A210,TB310320119!$A$11:$C$422,2,0),0)</f>
        <v>0</v>
      </c>
      <c r="L210" s="28">
        <v>0</v>
      </c>
      <c r="M210" s="28">
        <f t="shared" si="39"/>
        <v>0</v>
      </c>
      <c r="N210" s="28">
        <f>+IFERROR(VLOOKUP(A210,TB310320119!$A$11:$C$421,3,0),0)</f>
        <v>0</v>
      </c>
      <c r="O210" s="28">
        <v>0</v>
      </c>
      <c r="P210" s="28">
        <f t="shared" si="35"/>
        <v>0</v>
      </c>
      <c r="Q210" s="20">
        <f t="shared" si="40"/>
        <v>58500</v>
      </c>
    </row>
    <row r="211" spans="1:17" ht="15" customHeight="1">
      <c r="A211" s="34" t="s">
        <v>173</v>
      </c>
      <c r="B211" s="28">
        <v>26</v>
      </c>
      <c r="C211" s="28" t="s">
        <v>568</v>
      </c>
      <c r="D211" s="28" t="s">
        <v>569</v>
      </c>
      <c r="E211" s="28">
        <f>+IFERROR(VLOOKUP(A211,TB31032020!$A$11:$C$415,2,0),0)</f>
        <v>5436</v>
      </c>
      <c r="F211" s="28">
        <v>0</v>
      </c>
      <c r="G211" s="28">
        <f t="shared" si="37"/>
        <v>5436</v>
      </c>
      <c r="H211" s="28">
        <f>+IFERROR(VLOOKUP(A211,TB31032020!$A$11:$C$415,3,0),0)</f>
        <v>0</v>
      </c>
      <c r="I211" s="28">
        <v>0</v>
      </c>
      <c r="J211" s="28">
        <f t="shared" si="38"/>
        <v>0</v>
      </c>
      <c r="K211" s="28">
        <f>+IFERROR(VLOOKUP(A211,TB310320119!$A$11:$C$422,2,0),0)</f>
        <v>3632</v>
      </c>
      <c r="L211" s="28">
        <v>0</v>
      </c>
      <c r="M211" s="28">
        <f t="shared" si="39"/>
        <v>3632</v>
      </c>
      <c r="N211" s="28">
        <f>+IFERROR(VLOOKUP(A211,TB310320119!$A$11:$C$421,3,0),0)</f>
        <v>0</v>
      </c>
      <c r="O211" s="28">
        <v>0</v>
      </c>
      <c r="P211" s="28">
        <f t="shared" si="35"/>
        <v>0</v>
      </c>
      <c r="Q211" s="20">
        <f t="shared" si="40"/>
        <v>18136</v>
      </c>
    </row>
    <row r="212" spans="1:17" ht="15" customHeight="1">
      <c r="A212" s="33" t="s">
        <v>661</v>
      </c>
      <c r="B212" s="28">
        <v>26</v>
      </c>
      <c r="C212" s="28" t="s">
        <v>568</v>
      </c>
      <c r="D212" s="28" t="s">
        <v>569</v>
      </c>
      <c r="E212" s="28">
        <f>+IFERROR(VLOOKUP(A212,TB31032020!$A$11:$C$415,2,0),0)</f>
        <v>2330</v>
      </c>
      <c r="F212" s="28">
        <v>0</v>
      </c>
      <c r="G212" s="28">
        <f t="shared" si="37"/>
        <v>2330</v>
      </c>
      <c r="H212" s="28">
        <f>+IFERROR(VLOOKUP(A212,TB31032020!$A$11:$C$415,3,0),0)</f>
        <v>0</v>
      </c>
      <c r="I212" s="28">
        <v>0</v>
      </c>
      <c r="J212" s="28">
        <f t="shared" si="38"/>
        <v>0</v>
      </c>
      <c r="K212" s="28">
        <f>+IFERROR(VLOOKUP(A212,TB310320119!$A$11:$C$422,2,0),0)</f>
        <v>22179</v>
      </c>
      <c r="L212" s="28">
        <v>0</v>
      </c>
      <c r="M212" s="28">
        <f t="shared" si="39"/>
        <v>22179</v>
      </c>
      <c r="N212" s="28">
        <f>+IFERROR(VLOOKUP(A212,TB310320119!$A$11:$C$421,3,0),0)</f>
        <v>0</v>
      </c>
      <c r="O212" s="28">
        <v>0</v>
      </c>
      <c r="P212" s="28">
        <f t="shared" si="35"/>
        <v>0</v>
      </c>
      <c r="Q212" s="20">
        <f t="shared" si="40"/>
        <v>49018</v>
      </c>
    </row>
    <row r="213" spans="1:17" ht="15" customHeight="1">
      <c r="A213" s="33" t="s">
        <v>468</v>
      </c>
      <c r="B213" s="28">
        <v>20</v>
      </c>
      <c r="C213" s="28" t="s">
        <v>643</v>
      </c>
      <c r="D213" s="28" t="s">
        <v>643</v>
      </c>
      <c r="E213" s="28">
        <f>+IFERROR(VLOOKUP(A213,TB31032020!$A$11:$C$415,2,0),0)</f>
        <v>0</v>
      </c>
      <c r="F213" s="28">
        <v>0</v>
      </c>
      <c r="G213" s="28">
        <f t="shared" si="37"/>
        <v>0</v>
      </c>
      <c r="H213" s="28">
        <f>+IFERROR(VLOOKUP(A213,TB31032020!$A$11:$C$415,3,0),0)</f>
        <v>0</v>
      </c>
      <c r="I213" s="28">
        <v>0</v>
      </c>
      <c r="J213" s="28">
        <f t="shared" si="38"/>
        <v>0</v>
      </c>
      <c r="K213" s="28">
        <f>+IFERROR(VLOOKUP(A213,TB310320119!$A$11:$C$422,2,0),0)</f>
        <v>0</v>
      </c>
      <c r="L213" s="28">
        <v>0</v>
      </c>
      <c r="M213" s="28">
        <f t="shared" si="39"/>
        <v>0</v>
      </c>
      <c r="N213" s="28">
        <f>+IFERROR(VLOOKUP(A213,TB310320119!$A$11:$C$421,3,0),0)</f>
        <v>47130</v>
      </c>
      <c r="O213" s="28">
        <v>0</v>
      </c>
      <c r="P213" s="28">
        <f t="shared" si="35"/>
        <v>47130</v>
      </c>
      <c r="Q213" s="20">
        <f t="shared" si="40"/>
        <v>94260</v>
      </c>
    </row>
    <row r="214" spans="1:17" ht="15" customHeight="1">
      <c r="A214" s="60" t="s">
        <v>175</v>
      </c>
      <c r="B214" s="28">
        <v>26</v>
      </c>
      <c r="C214" s="28" t="s">
        <v>568</v>
      </c>
      <c r="D214" s="28" t="s">
        <v>569</v>
      </c>
      <c r="E214" s="28">
        <f>+IFERROR(VLOOKUP(A214,TB31032020!$A$11:$C$415,2,0),0)</f>
        <v>12071</v>
      </c>
      <c r="F214" s="28">
        <v>0</v>
      </c>
      <c r="G214" s="28">
        <f t="shared" si="37"/>
        <v>12071</v>
      </c>
      <c r="H214" s="28">
        <f>+IFERROR(VLOOKUP(A214,TB31032020!$A$11:$C$415,3,0),0)</f>
        <v>0</v>
      </c>
      <c r="I214" s="28">
        <v>0</v>
      </c>
      <c r="J214" s="28">
        <f t="shared" si="38"/>
        <v>0</v>
      </c>
      <c r="K214" s="28">
        <f>+IFERROR(VLOOKUP(A214,TB310320119!$A$11:$C$422,2,0),0)</f>
        <v>0</v>
      </c>
      <c r="L214" s="28">
        <v>0</v>
      </c>
      <c r="M214" s="28">
        <f t="shared" si="39"/>
        <v>0</v>
      </c>
      <c r="N214" s="28">
        <f>+IFERROR(VLOOKUP(A214,TB310320119!$A$11:$C$421,3,0),0)</f>
        <v>0</v>
      </c>
      <c r="O214" s="28">
        <v>0</v>
      </c>
      <c r="P214" s="28">
        <f t="shared" si="35"/>
        <v>0</v>
      </c>
      <c r="Q214" s="20">
        <f t="shared" si="40"/>
        <v>24142</v>
      </c>
    </row>
    <row r="215" spans="1:17" ht="15" customHeight="1">
      <c r="A215" s="33" t="s">
        <v>176</v>
      </c>
      <c r="B215" s="37">
        <v>8</v>
      </c>
      <c r="C215" s="37" t="s">
        <v>585</v>
      </c>
      <c r="D215" s="37" t="s">
        <v>585</v>
      </c>
      <c r="E215" s="28">
        <f>+IFERROR(VLOOKUP(A215,TB31032020!$A$11:$C$415,2,0),0)</f>
        <v>0</v>
      </c>
      <c r="F215" s="28">
        <v>0</v>
      </c>
      <c r="G215" s="28">
        <f t="shared" si="37"/>
        <v>0</v>
      </c>
      <c r="H215" s="28">
        <f>+IFERROR(VLOOKUP(A215,TB31032020!$A$11:$C$415,3,0),0)</f>
        <v>574034.93999999994</v>
      </c>
      <c r="I215" s="28">
        <v>0</v>
      </c>
      <c r="J215" s="28">
        <f t="shared" si="38"/>
        <v>574034.93999999994</v>
      </c>
      <c r="K215" s="28">
        <f>+IFERROR(VLOOKUP(A215,TB310320119!$A$11:$C$422,2,0),0)</f>
        <v>0</v>
      </c>
      <c r="L215" s="28">
        <v>0</v>
      </c>
      <c r="M215" s="28">
        <f t="shared" si="39"/>
        <v>0</v>
      </c>
      <c r="N215" s="28">
        <f>+IFERROR(VLOOKUP(A215,TB310320119!$A$11:$C$421,3,0),0)</f>
        <v>262026</v>
      </c>
      <c r="O215" s="28">
        <v>0</v>
      </c>
      <c r="P215" s="28">
        <f t="shared" si="35"/>
        <v>262026</v>
      </c>
      <c r="Q215" s="20">
        <f t="shared" si="40"/>
        <v>1672121.88</v>
      </c>
    </row>
    <row r="216" spans="1:17" ht="15" customHeight="1">
      <c r="A216" s="33" t="s">
        <v>663</v>
      </c>
      <c r="B216" s="28">
        <v>25</v>
      </c>
      <c r="C216" s="28" t="s">
        <v>589</v>
      </c>
      <c r="D216" s="28" t="s">
        <v>660</v>
      </c>
      <c r="E216" s="28">
        <f>+IFERROR(VLOOKUP(A216,TB31032020!$A$11:$C$415,2,0),0)</f>
        <v>4933411.9400000004</v>
      </c>
      <c r="F216" s="28">
        <v>0</v>
      </c>
      <c r="G216" s="28">
        <f t="shared" si="37"/>
        <v>4933411.9400000004</v>
      </c>
      <c r="H216" s="28">
        <f>+IFERROR(VLOOKUP(A216,TB31032020!$A$11:$C$415,3,0),0)</f>
        <v>0</v>
      </c>
      <c r="I216" s="28">
        <v>0</v>
      </c>
      <c r="J216" s="28">
        <f t="shared" si="38"/>
        <v>0</v>
      </c>
      <c r="K216" s="28">
        <f>+IFERROR(VLOOKUP(A216,TB310320119!$A$11:$C$422,2,0),0)</f>
        <v>5694330</v>
      </c>
      <c r="L216" s="28">
        <v>0</v>
      </c>
      <c r="M216" s="28">
        <f t="shared" si="39"/>
        <v>5694330</v>
      </c>
      <c r="N216" s="28">
        <f>+IFERROR(VLOOKUP(A216,TB310320119!$A$11:$C$421,3,0),0)</f>
        <v>0</v>
      </c>
      <c r="O216" s="28">
        <v>0</v>
      </c>
      <c r="P216" s="28">
        <f t="shared" si="35"/>
        <v>0</v>
      </c>
      <c r="Q216" s="20">
        <f t="shared" si="40"/>
        <v>21255483.880000003</v>
      </c>
    </row>
    <row r="217" spans="1:17" ht="15" customHeight="1">
      <c r="A217" s="29" t="s">
        <v>178</v>
      </c>
      <c r="B217" s="28">
        <v>25</v>
      </c>
      <c r="C217" s="28" t="s">
        <v>589</v>
      </c>
      <c r="D217" s="28" t="s">
        <v>660</v>
      </c>
      <c r="E217" s="28">
        <f>+IFERROR(VLOOKUP(A217,TB31032020!$A$11:$C$415,2,0),0)</f>
        <v>166917</v>
      </c>
      <c r="F217" s="28">
        <v>0</v>
      </c>
      <c r="G217" s="28">
        <f t="shared" si="37"/>
        <v>166917</v>
      </c>
      <c r="H217" s="28">
        <f>+IFERROR(VLOOKUP(A217,TB31032020!$A$11:$C$415,3,0),0)</f>
        <v>0</v>
      </c>
      <c r="I217" s="28">
        <v>0</v>
      </c>
      <c r="J217" s="28">
        <f t="shared" si="38"/>
        <v>0</v>
      </c>
      <c r="K217" s="28">
        <f>+IFERROR(VLOOKUP(A217,TB310320119!$A$11:$C$422,2,0),0)</f>
        <v>523984</v>
      </c>
      <c r="L217" s="28">
        <v>0</v>
      </c>
      <c r="M217" s="28">
        <f t="shared" si="39"/>
        <v>523984</v>
      </c>
      <c r="N217" s="28">
        <f>+IFERROR(VLOOKUP(A217,TB310320119!$A$11:$C$421,3,0),0)</f>
        <v>0</v>
      </c>
      <c r="O217" s="28">
        <v>0</v>
      </c>
      <c r="P217" s="28">
        <f t="shared" si="35"/>
        <v>0</v>
      </c>
      <c r="Q217" s="20">
        <f t="shared" si="40"/>
        <v>1381802</v>
      </c>
    </row>
    <row r="218" spans="1:17" ht="15" customHeight="1">
      <c r="A218" s="29" t="s">
        <v>179</v>
      </c>
      <c r="B218" s="28">
        <v>25</v>
      </c>
      <c r="C218" s="28" t="s">
        <v>589</v>
      </c>
      <c r="D218" s="28" t="s">
        <v>660</v>
      </c>
      <c r="E218" s="28">
        <f>+IFERROR(VLOOKUP(A218,TB31032020!$A$11:$C$415,2,0),0)</f>
        <v>441375</v>
      </c>
      <c r="F218" s="28">
        <v>0</v>
      </c>
      <c r="G218" s="28">
        <f t="shared" si="37"/>
        <v>441375</v>
      </c>
      <c r="H218" s="28">
        <f>+IFERROR(VLOOKUP(A218,TB31032020!$A$11:$C$415,3,0),0)</f>
        <v>0</v>
      </c>
      <c r="I218" s="28">
        <v>0</v>
      </c>
      <c r="J218" s="28">
        <f t="shared" si="38"/>
        <v>0</v>
      </c>
      <c r="K218" s="28">
        <f>+IFERROR(VLOOKUP(A218,TB310320119!$A$11:$C$422,2,0),0)</f>
        <v>1401926</v>
      </c>
      <c r="L218" s="28">
        <v>0</v>
      </c>
      <c r="M218" s="28">
        <f t="shared" si="39"/>
        <v>1401926</v>
      </c>
      <c r="N218" s="28">
        <f>+IFERROR(VLOOKUP(A218,TB310320119!$A$11:$C$421,3,0),0)</f>
        <v>0</v>
      </c>
      <c r="O218" s="28">
        <v>0</v>
      </c>
      <c r="P218" s="28">
        <f t="shared" si="35"/>
        <v>0</v>
      </c>
      <c r="Q218" s="20">
        <f t="shared" si="40"/>
        <v>3686602</v>
      </c>
    </row>
    <row r="219" spans="1:17" ht="15" customHeight="1">
      <c r="A219" s="33" t="s">
        <v>664</v>
      </c>
      <c r="B219" s="28">
        <v>25</v>
      </c>
      <c r="C219" s="28" t="s">
        <v>589</v>
      </c>
      <c r="D219" s="28" t="s">
        <v>660</v>
      </c>
      <c r="E219" s="28">
        <f>+IFERROR(VLOOKUP(A219,TB31032020!$A$11:$C$415,2,0),0)</f>
        <v>1878337</v>
      </c>
      <c r="F219" s="28">
        <v>0</v>
      </c>
      <c r="G219" s="28">
        <f t="shared" si="37"/>
        <v>1878337</v>
      </c>
      <c r="H219" s="28">
        <f>+IFERROR(VLOOKUP(A219,TB31032020!$A$11:$C$415,3,0),0)</f>
        <v>0</v>
      </c>
      <c r="I219" s="28">
        <v>0</v>
      </c>
      <c r="J219" s="28">
        <f t="shared" si="38"/>
        <v>0</v>
      </c>
      <c r="K219" s="28">
        <f>+IFERROR(VLOOKUP(A219,TB310320119!$A$11:$C$422,2,0),0)</f>
        <v>3826381</v>
      </c>
      <c r="L219" s="28">
        <v>0</v>
      </c>
      <c r="M219" s="28">
        <f t="shared" si="39"/>
        <v>3826381</v>
      </c>
      <c r="N219" s="28">
        <f>+IFERROR(VLOOKUP(A219,TB310320119!$A$11:$C$421,3,0),0)</f>
        <v>0</v>
      </c>
      <c r="O219" s="28">
        <v>0</v>
      </c>
      <c r="P219" s="28">
        <f t="shared" si="35"/>
        <v>0</v>
      </c>
      <c r="Q219" s="20">
        <f t="shared" si="40"/>
        <v>11409436</v>
      </c>
    </row>
    <row r="220" spans="1:17" ht="15" customHeight="1">
      <c r="A220" s="33" t="s">
        <v>181</v>
      </c>
      <c r="B220" s="28">
        <v>26</v>
      </c>
      <c r="C220" s="28" t="s">
        <v>568</v>
      </c>
      <c r="D220" s="28" t="s">
        <v>587</v>
      </c>
      <c r="E220" s="28">
        <f>+IFERROR(VLOOKUP(A220,TB31032020!$A$11:$C$415,2,0),0)</f>
        <v>196000</v>
      </c>
      <c r="F220" s="28">
        <v>0</v>
      </c>
      <c r="G220" s="28">
        <f t="shared" si="37"/>
        <v>196000</v>
      </c>
      <c r="H220" s="28">
        <f>+IFERROR(VLOOKUP(A220,TB31032020!$A$11:$C$415,3,0),0)</f>
        <v>0</v>
      </c>
      <c r="I220" s="28">
        <v>0</v>
      </c>
      <c r="J220" s="28">
        <f t="shared" si="38"/>
        <v>0</v>
      </c>
      <c r="K220" s="28">
        <f>+IFERROR(VLOOKUP(A220,TB310320119!$A$11:$C$422,2,0),0)</f>
        <v>360000</v>
      </c>
      <c r="L220" s="28">
        <v>0</v>
      </c>
      <c r="M220" s="28">
        <f t="shared" si="39"/>
        <v>360000</v>
      </c>
      <c r="N220" s="28">
        <f>+IFERROR(VLOOKUP(A220,TB310320119!$A$11:$C$421,3,0),0)</f>
        <v>0</v>
      </c>
      <c r="O220" s="28">
        <v>0</v>
      </c>
      <c r="P220" s="28">
        <f t="shared" si="35"/>
        <v>0</v>
      </c>
      <c r="Q220" s="20">
        <f t="shared" si="40"/>
        <v>1112000</v>
      </c>
    </row>
    <row r="221" spans="1:17" ht="15" customHeight="1">
      <c r="A221" s="28" t="s">
        <v>469</v>
      </c>
      <c r="B221" s="28">
        <v>7</v>
      </c>
      <c r="C221" s="28" t="s">
        <v>561</v>
      </c>
      <c r="D221" s="28" t="s">
        <v>561</v>
      </c>
      <c r="E221" s="28">
        <f>+IFERROR(VLOOKUP(A221,TB31032020!$A$11:$C$415,2,0),0)</f>
        <v>0</v>
      </c>
      <c r="F221" s="28">
        <v>0</v>
      </c>
      <c r="G221" s="28">
        <f t="shared" si="37"/>
        <v>0</v>
      </c>
      <c r="H221" s="28">
        <f>+IFERROR(VLOOKUP(A221,TB31032020!$A$11:$C$415,3,0),0)</f>
        <v>0</v>
      </c>
      <c r="I221" s="28">
        <v>0</v>
      </c>
      <c r="J221" s="28">
        <f t="shared" si="38"/>
        <v>0</v>
      </c>
      <c r="K221" s="28">
        <f>+IFERROR(VLOOKUP(A221,TB310320119!$A$11:$C$422,2,0),0)</f>
        <v>0</v>
      </c>
      <c r="L221" s="28">
        <v>0</v>
      </c>
      <c r="M221" s="28">
        <f t="shared" si="39"/>
        <v>0</v>
      </c>
      <c r="N221" s="28">
        <f>+IFERROR(VLOOKUP(A221,TB310320119!$A$11:$C$421,3,0),0)</f>
        <v>95344</v>
      </c>
      <c r="O221" s="28">
        <v>0</v>
      </c>
      <c r="P221" s="28">
        <f t="shared" si="35"/>
        <v>95344</v>
      </c>
      <c r="Q221" s="20">
        <f t="shared" si="40"/>
        <v>190688</v>
      </c>
    </row>
    <row r="222" spans="1:17" ht="15" customHeight="1">
      <c r="A222" s="33" t="s">
        <v>665</v>
      </c>
      <c r="B222" s="28">
        <v>7</v>
      </c>
      <c r="C222" s="28" t="s">
        <v>561</v>
      </c>
      <c r="D222" s="28" t="s">
        <v>561</v>
      </c>
      <c r="E222" s="28">
        <f>+IFERROR(VLOOKUP(A222,TB31032020!$A$11:$C$415,2,0),0)</f>
        <v>0</v>
      </c>
      <c r="F222" s="28">
        <v>0</v>
      </c>
      <c r="G222" s="28">
        <f t="shared" si="37"/>
        <v>0</v>
      </c>
      <c r="H222" s="28">
        <f>+IFERROR(VLOOKUP(A222,TB31032020!$A$11:$C$415,3,0),0)</f>
        <v>366473</v>
      </c>
      <c r="I222" s="28">
        <v>0</v>
      </c>
      <c r="J222" s="28">
        <f t="shared" si="38"/>
        <v>366473</v>
      </c>
      <c r="K222" s="28">
        <f>+IFERROR(VLOOKUP(A222,TB310320119!$A$11:$C$422,2,0),0)</f>
        <v>0</v>
      </c>
      <c r="L222" s="28">
        <v>0</v>
      </c>
      <c r="M222" s="28">
        <f t="shared" si="39"/>
        <v>0</v>
      </c>
      <c r="N222" s="28">
        <f>+IFERROR(VLOOKUP(A222,TB310320119!$A$11:$C$421,3,0),0)</f>
        <v>447447</v>
      </c>
      <c r="O222" s="28">
        <v>0</v>
      </c>
      <c r="P222" s="28">
        <f t="shared" si="35"/>
        <v>447447</v>
      </c>
      <c r="Q222" s="20">
        <f t="shared" si="40"/>
        <v>1627840</v>
      </c>
    </row>
    <row r="223" spans="1:17" ht="15" customHeight="1">
      <c r="A223" s="45" t="s">
        <v>182</v>
      </c>
      <c r="B223" s="28">
        <v>15</v>
      </c>
      <c r="C223" s="28" t="s">
        <v>563</v>
      </c>
      <c r="D223" s="28" t="s">
        <v>564</v>
      </c>
      <c r="E223" s="28">
        <f>+IFERROR(VLOOKUP(A223,TB31032020!$A$11:$C$415,2,0),0)</f>
        <v>556227</v>
      </c>
      <c r="F223" s="28">
        <v>0</v>
      </c>
      <c r="G223" s="28">
        <f t="shared" si="37"/>
        <v>556227</v>
      </c>
      <c r="H223" s="28">
        <f>+IFERROR(VLOOKUP(A223,TB31032020!$A$11:$C$415,3,0),0)</f>
        <v>0</v>
      </c>
      <c r="I223" s="28">
        <v>0</v>
      </c>
      <c r="J223" s="28">
        <f t="shared" si="38"/>
        <v>0</v>
      </c>
      <c r="K223" s="28">
        <f>+IFERROR(VLOOKUP(A223,TB310320119!$A$11:$C$422,2,0),0)</f>
        <v>521284</v>
      </c>
      <c r="L223" s="28">
        <v>0</v>
      </c>
      <c r="M223" s="28">
        <f t="shared" si="39"/>
        <v>521284</v>
      </c>
      <c r="N223" s="28">
        <f>+IFERROR(VLOOKUP(A223,TB310320119!$A$11:$C$421,3,0),0)</f>
        <v>0</v>
      </c>
      <c r="O223" s="28">
        <v>0</v>
      </c>
      <c r="P223" s="28">
        <f t="shared" si="35"/>
        <v>0</v>
      </c>
      <c r="Q223" s="20">
        <f t="shared" si="40"/>
        <v>2155022</v>
      </c>
    </row>
    <row r="224" spans="1:17" ht="15" customHeight="1">
      <c r="A224" s="33" t="s">
        <v>183</v>
      </c>
      <c r="B224" s="28">
        <v>15</v>
      </c>
      <c r="C224" s="28" t="s">
        <v>563</v>
      </c>
      <c r="D224" s="28" t="s">
        <v>564</v>
      </c>
      <c r="E224" s="28">
        <f>+IFERROR(VLOOKUP(A224,TB31032020!$A$11:$C$415,2,0),0)</f>
        <v>50433</v>
      </c>
      <c r="F224" s="28">
        <v>0</v>
      </c>
      <c r="G224" s="28">
        <f t="shared" si="37"/>
        <v>50433</v>
      </c>
      <c r="H224" s="28">
        <f>+IFERROR(VLOOKUP(A224,TB31032020!$A$11:$C$415,3,0),0)</f>
        <v>0</v>
      </c>
      <c r="I224" s="28">
        <v>0</v>
      </c>
      <c r="J224" s="28">
        <f t="shared" si="38"/>
        <v>0</v>
      </c>
      <c r="K224" s="28">
        <f>+IFERROR(VLOOKUP(A224,TB310320119!$A$11:$C$422,2,0),0)</f>
        <v>42545</v>
      </c>
      <c r="L224" s="28">
        <v>0</v>
      </c>
      <c r="M224" s="28">
        <f t="shared" si="39"/>
        <v>42545</v>
      </c>
      <c r="N224" s="28">
        <f>+IFERROR(VLOOKUP(A224,TB310320119!$A$11:$C$421,3,0),0)</f>
        <v>0</v>
      </c>
      <c r="O224" s="28">
        <v>0</v>
      </c>
      <c r="P224" s="28">
        <f t="shared" si="35"/>
        <v>0</v>
      </c>
      <c r="Q224" s="20">
        <f t="shared" si="40"/>
        <v>185956</v>
      </c>
    </row>
    <row r="225" spans="1:17" ht="15" customHeight="1">
      <c r="A225" s="33" t="s">
        <v>184</v>
      </c>
      <c r="B225" s="28">
        <v>7</v>
      </c>
      <c r="C225" s="28" t="s">
        <v>561</v>
      </c>
      <c r="D225" s="28" t="s">
        <v>561</v>
      </c>
      <c r="E225" s="28">
        <f>+IFERROR(VLOOKUP(A225,TB31032020!$A$11:$C$415,2,0),0)</f>
        <v>0</v>
      </c>
      <c r="F225" s="28">
        <v>0</v>
      </c>
      <c r="G225" s="28">
        <f t="shared" si="37"/>
        <v>0</v>
      </c>
      <c r="H225" s="28">
        <f>+IFERROR(VLOOKUP(A225,TB31032020!$A$11:$C$415,3,0),0)</f>
        <v>54442</v>
      </c>
      <c r="I225" s="28">
        <v>0</v>
      </c>
      <c r="J225" s="28">
        <f t="shared" si="38"/>
        <v>54442</v>
      </c>
      <c r="K225" s="28">
        <f>+IFERROR(VLOOKUP(A225,TB310320119!$A$11:$C$422,2,0),0)</f>
        <v>0</v>
      </c>
      <c r="L225" s="28">
        <v>0</v>
      </c>
      <c r="M225" s="28">
        <f t="shared" si="39"/>
        <v>0</v>
      </c>
      <c r="N225" s="28">
        <f>+IFERROR(VLOOKUP(A225,TB310320119!$A$11:$C$421,3,0),0)</f>
        <v>0</v>
      </c>
      <c r="O225" s="28">
        <v>0</v>
      </c>
      <c r="P225" s="28">
        <f t="shared" si="35"/>
        <v>0</v>
      </c>
      <c r="Q225" s="20">
        <f t="shared" si="40"/>
        <v>108884</v>
      </c>
    </row>
    <row r="226" spans="1:17" ht="15" customHeight="1">
      <c r="A226" s="30" t="s">
        <v>185</v>
      </c>
      <c r="B226" s="28">
        <v>7</v>
      </c>
      <c r="C226" s="28" t="s">
        <v>561</v>
      </c>
      <c r="D226" s="28" t="s">
        <v>562</v>
      </c>
      <c r="E226" s="28">
        <f>+IFERROR(VLOOKUP(A226,TB31032020!$A$11:$C$415,2,0),0)</f>
        <v>0</v>
      </c>
      <c r="F226" s="28">
        <v>0</v>
      </c>
      <c r="G226" s="28">
        <f t="shared" si="37"/>
        <v>0</v>
      </c>
      <c r="H226" s="28">
        <f>+IFERROR(VLOOKUP(A226,TB31032020!$A$11:$C$415,3,0),0)</f>
        <v>2950</v>
      </c>
      <c r="I226" s="28">
        <v>0</v>
      </c>
      <c r="J226" s="28">
        <f t="shared" si="38"/>
        <v>2950</v>
      </c>
      <c r="K226" s="28">
        <f>+IFERROR(VLOOKUP(A226,TB310320119!$A$11:$C$422,2,0),0)</f>
        <v>0</v>
      </c>
      <c r="L226" s="28">
        <v>0</v>
      </c>
      <c r="M226" s="28">
        <f t="shared" si="39"/>
        <v>0</v>
      </c>
      <c r="N226" s="28">
        <f>+IFERROR(VLOOKUP(A226,TB310320119!$A$11:$C$421,3,0),0)</f>
        <v>0</v>
      </c>
      <c r="O226" s="28">
        <v>0</v>
      </c>
      <c r="P226" s="28">
        <f t="shared" si="35"/>
        <v>0</v>
      </c>
      <c r="Q226" s="20">
        <f t="shared" si="40"/>
        <v>5900</v>
      </c>
    </row>
    <row r="227" spans="1:17" ht="15" customHeight="1">
      <c r="A227" s="34" t="s">
        <v>186</v>
      </c>
      <c r="B227" s="28">
        <v>7</v>
      </c>
      <c r="C227" s="28" t="s">
        <v>561</v>
      </c>
      <c r="D227" s="28" t="s">
        <v>562</v>
      </c>
      <c r="E227" s="28">
        <f>+IFERROR(VLOOKUP(A227,TB31032020!$A$11:$C$415,2,0),0)</f>
        <v>0</v>
      </c>
      <c r="F227" s="28">
        <v>0</v>
      </c>
      <c r="G227" s="28">
        <f t="shared" si="37"/>
        <v>0</v>
      </c>
      <c r="H227" s="28">
        <f>+IFERROR(VLOOKUP(A227,TB31032020!$A$11:$C$415,3,0),0)</f>
        <v>23502</v>
      </c>
      <c r="I227" s="28">
        <v>0</v>
      </c>
      <c r="J227" s="28">
        <f t="shared" si="38"/>
        <v>23502</v>
      </c>
      <c r="K227" s="28">
        <f>+IFERROR(VLOOKUP(A227,TB310320119!$A$11:$C$422,2,0),0)</f>
        <v>0</v>
      </c>
      <c r="L227" s="28">
        <v>0</v>
      </c>
      <c r="M227" s="28">
        <f t="shared" si="39"/>
        <v>0</v>
      </c>
      <c r="N227" s="28">
        <f>+IFERROR(VLOOKUP(A227,TB310320119!$A$11:$C$421,3,0),0)</f>
        <v>28497</v>
      </c>
      <c r="O227" s="28">
        <v>0</v>
      </c>
      <c r="P227" s="28">
        <f t="shared" si="35"/>
        <v>28497</v>
      </c>
      <c r="Q227" s="20">
        <f t="shared" si="40"/>
        <v>103998</v>
      </c>
    </row>
    <row r="228" spans="1:17" ht="15" customHeight="1">
      <c r="A228" s="33" t="s">
        <v>187</v>
      </c>
      <c r="B228" s="28">
        <v>4</v>
      </c>
      <c r="C228" s="28" t="s">
        <v>576</v>
      </c>
      <c r="D228" s="28" t="s">
        <v>577</v>
      </c>
      <c r="E228" s="28">
        <f>+IFERROR(VLOOKUP(A228,TB31032020!$A$11:$C$415,2,0),0)</f>
        <v>0</v>
      </c>
      <c r="F228" s="28">
        <v>0</v>
      </c>
      <c r="G228" s="28">
        <f t="shared" si="37"/>
        <v>0</v>
      </c>
      <c r="H228" s="28">
        <f>+IFERROR(VLOOKUP(A228,TB31032020!$A$11:$C$415,3,0),0)</f>
        <v>6498343</v>
      </c>
      <c r="I228" s="28">
        <v>0</v>
      </c>
      <c r="J228" s="28">
        <f t="shared" si="38"/>
        <v>6498343</v>
      </c>
      <c r="K228" s="28">
        <f>+IFERROR(VLOOKUP(A228,TB310320119!$A$11:$C$422,2,0),0)</f>
        <v>0</v>
      </c>
      <c r="L228" s="28">
        <v>0</v>
      </c>
      <c r="M228" s="28">
        <f t="shared" si="39"/>
        <v>0</v>
      </c>
      <c r="N228" s="28">
        <f>+IFERROR(VLOOKUP(A228,TB310320119!$A$11:$C$421,3,0),0)</f>
        <v>6500000</v>
      </c>
      <c r="O228" s="28">
        <v>0</v>
      </c>
      <c r="P228" s="28">
        <f t="shared" si="35"/>
        <v>6500000</v>
      </c>
      <c r="Q228" s="20">
        <f t="shared" si="40"/>
        <v>25996686</v>
      </c>
    </row>
    <row r="229" spans="1:17" ht="15" customHeight="1">
      <c r="A229" s="45" t="s">
        <v>188</v>
      </c>
      <c r="B229" s="28">
        <v>7</v>
      </c>
      <c r="C229" s="28" t="s">
        <v>561</v>
      </c>
      <c r="D229" s="28" t="s">
        <v>561</v>
      </c>
      <c r="E229" s="28">
        <f>+IFERROR(VLOOKUP(A229,TB31032020!$A$11:$C$415,2,0),0)</f>
        <v>0</v>
      </c>
      <c r="F229" s="28">
        <v>0</v>
      </c>
      <c r="G229" s="28">
        <f t="shared" si="37"/>
        <v>0</v>
      </c>
      <c r="H229" s="28">
        <f>+IFERROR(VLOOKUP(A229,TB31032020!$A$11:$C$415,3,0),0)</f>
        <v>6710</v>
      </c>
      <c r="I229" s="28">
        <v>0</v>
      </c>
      <c r="J229" s="28">
        <f t="shared" si="38"/>
        <v>6710</v>
      </c>
      <c r="K229" s="28">
        <f>+IFERROR(VLOOKUP(A229,TB310320119!$A$11:$C$422,2,0),0)</f>
        <v>0</v>
      </c>
      <c r="L229" s="28">
        <v>0</v>
      </c>
      <c r="M229" s="28">
        <f t="shared" si="39"/>
        <v>0</v>
      </c>
      <c r="N229" s="28">
        <f>+IFERROR(VLOOKUP(A229,TB310320119!$A$11:$C$421,3,0),0)</f>
        <v>0</v>
      </c>
      <c r="O229" s="28">
        <v>0</v>
      </c>
      <c r="P229" s="28">
        <f t="shared" si="35"/>
        <v>0</v>
      </c>
      <c r="Q229" s="20">
        <f t="shared" si="40"/>
        <v>13420</v>
      </c>
    </row>
    <row r="230" spans="1:17" ht="15" customHeight="1">
      <c r="A230" s="33" t="s">
        <v>666</v>
      </c>
      <c r="B230" s="28">
        <v>15</v>
      </c>
      <c r="C230" s="28" t="s">
        <v>563</v>
      </c>
      <c r="D230" s="28" t="s">
        <v>564</v>
      </c>
      <c r="E230" s="28">
        <f>+IFERROR(VLOOKUP(A230,TB31032020!$A$11:$C$415,2,0),0)</f>
        <v>0</v>
      </c>
      <c r="F230" s="28">
        <v>0</v>
      </c>
      <c r="G230" s="28">
        <f t="shared" si="37"/>
        <v>0</v>
      </c>
      <c r="H230" s="28">
        <f>+IFERROR(VLOOKUP(A230,TB31032020!$A$11:$C$415,3,0),0)</f>
        <v>0</v>
      </c>
      <c r="I230" s="28">
        <v>0</v>
      </c>
      <c r="J230" s="28">
        <f t="shared" si="38"/>
        <v>0</v>
      </c>
      <c r="K230" s="28">
        <f>+IFERROR(VLOOKUP(A230,TB310320119!$A$11:$C$422,2,0),0)</f>
        <v>1545645</v>
      </c>
      <c r="L230" s="28">
        <v>0</v>
      </c>
      <c r="M230" s="28">
        <f t="shared" si="39"/>
        <v>1545645</v>
      </c>
      <c r="N230" s="28">
        <f>+IFERROR(VLOOKUP(A230,TB310320119!$A$11:$C$421,3,0),0)</f>
        <v>0</v>
      </c>
      <c r="O230" s="28">
        <v>0</v>
      </c>
      <c r="P230" s="28">
        <f t="shared" si="35"/>
        <v>0</v>
      </c>
      <c r="Q230" s="20">
        <f t="shared" si="40"/>
        <v>3091290</v>
      </c>
    </row>
    <row r="231" spans="1:17" ht="15" customHeight="1">
      <c r="A231" s="33" t="s">
        <v>667</v>
      </c>
      <c r="B231" s="28">
        <v>15</v>
      </c>
      <c r="C231" s="28" t="s">
        <v>563</v>
      </c>
      <c r="D231" s="28" t="s">
        <v>564</v>
      </c>
      <c r="E231" s="28">
        <f>+IFERROR(VLOOKUP(A231,TB31032020!$A$11:$C$415,2,0),0)</f>
        <v>0</v>
      </c>
      <c r="F231" s="28">
        <v>0</v>
      </c>
      <c r="G231" s="28">
        <f t="shared" si="37"/>
        <v>0</v>
      </c>
      <c r="H231" s="28">
        <f>+IFERROR(VLOOKUP(A231,TB31032020!$A$11:$C$415,3,0),0)</f>
        <v>0</v>
      </c>
      <c r="I231" s="28">
        <v>0</v>
      </c>
      <c r="J231" s="28">
        <f t="shared" si="38"/>
        <v>0</v>
      </c>
      <c r="K231" s="28">
        <f>+IFERROR(VLOOKUP(A231,TB310320119!$A$11:$C$422,2,0),0)</f>
        <v>739696</v>
      </c>
      <c r="L231" s="28">
        <v>0</v>
      </c>
      <c r="M231" s="28">
        <f t="shared" si="39"/>
        <v>739696</v>
      </c>
      <c r="N231" s="28">
        <f>+IFERROR(VLOOKUP(A231,TB310320119!$A$11:$C$421,3,0),0)</f>
        <v>0</v>
      </c>
      <c r="O231" s="28">
        <v>0</v>
      </c>
      <c r="P231" s="28">
        <f t="shared" si="35"/>
        <v>0</v>
      </c>
      <c r="Q231" s="20">
        <f t="shared" si="40"/>
        <v>1479392</v>
      </c>
    </row>
    <row r="232" spans="1:17" ht="15" customHeight="1">
      <c r="A232" s="32" t="s">
        <v>189</v>
      </c>
      <c r="B232" s="28">
        <v>15</v>
      </c>
      <c r="C232" s="28" t="s">
        <v>563</v>
      </c>
      <c r="D232" s="28" t="s">
        <v>564</v>
      </c>
      <c r="E232" s="28">
        <f>+IFERROR(VLOOKUP(A232,TB31032020!$A$11:$C$415,2,0),0)</f>
        <v>1680601</v>
      </c>
      <c r="F232" s="28">
        <v>0</v>
      </c>
      <c r="G232" s="28">
        <f t="shared" si="37"/>
        <v>1680601</v>
      </c>
      <c r="H232" s="28">
        <f>+IFERROR(VLOOKUP(A232,TB31032020!$A$11:$C$415,3,0),0)</f>
        <v>0</v>
      </c>
      <c r="I232" s="28">
        <v>0</v>
      </c>
      <c r="J232" s="28">
        <f t="shared" si="38"/>
        <v>0</v>
      </c>
      <c r="K232" s="28">
        <f>+IFERROR(VLOOKUP(A232,TB310320119!$A$11:$C$422,2,0),0)</f>
        <v>0</v>
      </c>
      <c r="L232" s="28">
        <v>0</v>
      </c>
      <c r="M232" s="28">
        <f t="shared" si="39"/>
        <v>0</v>
      </c>
      <c r="N232" s="28">
        <f>+IFERROR(VLOOKUP(A232,TB310320119!$A$11:$C$421,3,0),0)</f>
        <v>0</v>
      </c>
      <c r="O232" s="28">
        <v>0</v>
      </c>
      <c r="P232" s="28">
        <f t="shared" si="35"/>
        <v>0</v>
      </c>
      <c r="Q232" s="20">
        <f t="shared" si="40"/>
        <v>3361202</v>
      </c>
    </row>
    <row r="233" spans="1:17" ht="15" customHeight="1">
      <c r="A233" s="30" t="s">
        <v>190</v>
      </c>
      <c r="B233" s="28">
        <v>7</v>
      </c>
      <c r="C233" s="28" t="s">
        <v>561</v>
      </c>
      <c r="D233" s="28" t="s">
        <v>562</v>
      </c>
      <c r="E233" s="28">
        <f>+IFERROR(VLOOKUP(A233,TB31032020!$A$11:$C$415,2,0),0)</f>
        <v>0</v>
      </c>
      <c r="F233" s="28">
        <v>0</v>
      </c>
      <c r="G233" s="28">
        <f t="shared" si="37"/>
        <v>0</v>
      </c>
      <c r="H233" s="28">
        <f>+IFERROR(VLOOKUP(A233,TB31032020!$A$11:$C$415,3,0),0)</f>
        <v>6434</v>
      </c>
      <c r="I233" s="28">
        <v>0</v>
      </c>
      <c r="J233" s="28">
        <f t="shared" si="38"/>
        <v>6434</v>
      </c>
      <c r="K233" s="28">
        <f>+IFERROR(VLOOKUP(A233,TB310320119!$A$11:$C$422,2,0),0)</f>
        <v>0</v>
      </c>
      <c r="L233" s="28">
        <v>0</v>
      </c>
      <c r="M233" s="28">
        <f t="shared" si="39"/>
        <v>0</v>
      </c>
      <c r="N233" s="28">
        <f>+IFERROR(VLOOKUP(A233,TB310320119!$A$11:$C$421,3,0),0)</f>
        <v>0</v>
      </c>
      <c r="O233" s="28">
        <v>0</v>
      </c>
      <c r="P233" s="28">
        <f t="shared" si="35"/>
        <v>0</v>
      </c>
      <c r="Q233" s="20">
        <f t="shared" si="40"/>
        <v>12868</v>
      </c>
    </row>
    <row r="234" spans="1:17" ht="15" customHeight="1">
      <c r="A234" s="40" t="s">
        <v>191</v>
      </c>
      <c r="B234" s="28">
        <v>12</v>
      </c>
      <c r="C234" s="28" t="s">
        <v>566</v>
      </c>
      <c r="D234" s="28" t="s">
        <v>634</v>
      </c>
      <c r="E234" s="28">
        <f>+IFERROR(VLOOKUP(A234,TB31032020!$A$11:$C$415,2,0),0)</f>
        <v>92000</v>
      </c>
      <c r="F234" s="28">
        <v>0</v>
      </c>
      <c r="G234" s="28">
        <f t="shared" si="37"/>
        <v>92000</v>
      </c>
      <c r="H234" s="28">
        <f>+IFERROR(VLOOKUP(A234,TB31032020!$A$11:$C$415,3,0),0)</f>
        <v>0</v>
      </c>
      <c r="I234" s="28">
        <v>0</v>
      </c>
      <c r="J234" s="28">
        <f t="shared" si="38"/>
        <v>0</v>
      </c>
      <c r="K234" s="28">
        <f>+IFERROR(VLOOKUP(A234,TB310320119!$A$11:$C$422,2,0),0)</f>
        <v>80000</v>
      </c>
      <c r="L234" s="28">
        <v>0</v>
      </c>
      <c r="M234" s="28">
        <f t="shared" si="39"/>
        <v>80000</v>
      </c>
      <c r="N234" s="28">
        <f>+IFERROR(VLOOKUP(A234,TB310320119!$A$11:$C$421,3,0),0)</f>
        <v>0</v>
      </c>
      <c r="O234" s="28">
        <v>0</v>
      </c>
      <c r="P234" s="28">
        <f t="shared" si="35"/>
        <v>0</v>
      </c>
      <c r="Q234" s="20">
        <f t="shared" si="40"/>
        <v>344000</v>
      </c>
    </row>
    <row r="235" spans="1:17" ht="15" customHeight="1">
      <c r="A235" s="30" t="s">
        <v>193</v>
      </c>
      <c r="B235" s="28">
        <v>7</v>
      </c>
      <c r="C235" s="28" t="s">
        <v>561</v>
      </c>
      <c r="D235" s="28" t="s">
        <v>562</v>
      </c>
      <c r="E235" s="28">
        <f>+IFERROR(VLOOKUP(A235,TB31032020!$A$11:$C$415,2,0),0)</f>
        <v>0</v>
      </c>
      <c r="F235" s="28">
        <v>0</v>
      </c>
      <c r="G235" s="28">
        <f t="shared" si="37"/>
        <v>0</v>
      </c>
      <c r="H235" s="28">
        <f>+IFERROR(VLOOKUP(A235,TB31032020!$A$11:$C$415,3,0),0)</f>
        <v>21679</v>
      </c>
      <c r="I235" s="28">
        <v>0</v>
      </c>
      <c r="J235" s="28">
        <f t="shared" si="38"/>
        <v>21679</v>
      </c>
      <c r="K235" s="28">
        <f>+IFERROR(VLOOKUP(A235,TB310320119!$A$11:$C$422,2,0),0)</f>
        <v>0</v>
      </c>
      <c r="L235" s="28">
        <v>0</v>
      </c>
      <c r="M235" s="28">
        <f t="shared" si="39"/>
        <v>0</v>
      </c>
      <c r="N235" s="28">
        <f>+IFERROR(VLOOKUP(A235,TB310320119!$A$11:$C$421,3,0),0)</f>
        <v>0</v>
      </c>
      <c r="O235" s="28">
        <v>0</v>
      </c>
      <c r="P235" s="28">
        <f t="shared" si="35"/>
        <v>0</v>
      </c>
      <c r="Q235" s="20">
        <f t="shared" si="40"/>
        <v>43358</v>
      </c>
    </row>
    <row r="236" spans="1:17" ht="15" customHeight="1">
      <c r="A236" s="30" t="s">
        <v>197</v>
      </c>
      <c r="B236" s="28">
        <v>7</v>
      </c>
      <c r="C236" s="28" t="s">
        <v>561</v>
      </c>
      <c r="D236" s="28" t="s">
        <v>562</v>
      </c>
      <c r="E236" s="28">
        <f>+IFERROR(VLOOKUP(A236,TB31032020!$A$11:$C$415,2,0),0)</f>
        <v>0</v>
      </c>
      <c r="F236" s="28">
        <v>0</v>
      </c>
      <c r="G236" s="28">
        <f t="shared" si="37"/>
        <v>0</v>
      </c>
      <c r="H236" s="28">
        <f>+IFERROR(VLOOKUP(A236,TB31032020!$A$11:$C$415,3,0),0)</f>
        <v>2463</v>
      </c>
      <c r="I236" s="28">
        <v>0</v>
      </c>
      <c r="J236" s="28">
        <f t="shared" si="38"/>
        <v>2463</v>
      </c>
      <c r="K236" s="28">
        <f>+IFERROR(VLOOKUP(A236,TB310320119!$A$11:$C$422,2,0),0)</f>
        <v>0</v>
      </c>
      <c r="L236" s="28">
        <v>0</v>
      </c>
      <c r="M236" s="28">
        <f t="shared" si="39"/>
        <v>0</v>
      </c>
      <c r="N236" s="28">
        <f>+IFERROR(VLOOKUP(A236,TB310320119!$A$11:$C$421,3,0),0)</f>
        <v>0</v>
      </c>
      <c r="O236" s="28">
        <v>0</v>
      </c>
      <c r="P236" s="28">
        <f t="shared" ref="P236:P299" si="41">N236+O236</f>
        <v>0</v>
      </c>
      <c r="Q236" s="20">
        <f t="shared" si="40"/>
        <v>4926</v>
      </c>
    </row>
    <row r="237" spans="1:17" ht="15" customHeight="1">
      <c r="A237" s="33" t="s">
        <v>194</v>
      </c>
      <c r="B237" s="28">
        <v>4</v>
      </c>
      <c r="C237" s="28" t="s">
        <v>576</v>
      </c>
      <c r="D237" s="28" t="s">
        <v>577</v>
      </c>
      <c r="E237" s="28">
        <f>+IFERROR(VLOOKUP(A237,TB31032020!$A$11:$C$415,2,0),0)</f>
        <v>0</v>
      </c>
      <c r="F237" s="28">
        <v>0</v>
      </c>
      <c r="G237" s="28">
        <f t="shared" si="37"/>
        <v>0</v>
      </c>
      <c r="H237" s="28">
        <f>+IFERROR(VLOOKUP(A237,TB31032020!$A$11:$C$415,3,0),0)</f>
        <v>3280041</v>
      </c>
      <c r="I237" s="28">
        <v>0</v>
      </c>
      <c r="J237" s="28">
        <f t="shared" si="38"/>
        <v>3280041</v>
      </c>
      <c r="K237" s="28">
        <f>+IFERROR(VLOOKUP(A237,TB310320119!$A$11:$C$422,2,0),0)</f>
        <v>0</v>
      </c>
      <c r="L237" s="28">
        <v>0</v>
      </c>
      <c r="M237" s="28">
        <f t="shared" si="39"/>
        <v>0</v>
      </c>
      <c r="N237" s="28">
        <f>+IFERROR(VLOOKUP(A237,TB310320119!$A$11:$C$421,3,0),0)</f>
        <v>3000000</v>
      </c>
      <c r="O237" s="28">
        <v>0</v>
      </c>
      <c r="P237" s="28">
        <f t="shared" si="41"/>
        <v>3000000</v>
      </c>
      <c r="Q237" s="20">
        <f t="shared" si="40"/>
        <v>12560082</v>
      </c>
    </row>
    <row r="238" spans="1:17" ht="15" customHeight="1">
      <c r="A238" s="33" t="s">
        <v>195</v>
      </c>
      <c r="B238" s="28">
        <v>7</v>
      </c>
      <c r="C238" s="28" t="s">
        <v>561</v>
      </c>
      <c r="D238" s="28" t="s">
        <v>561</v>
      </c>
      <c r="E238" s="28">
        <f>+IFERROR(VLOOKUP(A238,TB31032020!$A$11:$C$415,2,0),0)</f>
        <v>0</v>
      </c>
      <c r="F238" s="28">
        <v>0</v>
      </c>
      <c r="G238" s="28">
        <f t="shared" si="37"/>
        <v>0</v>
      </c>
      <c r="H238" s="28">
        <f>+IFERROR(VLOOKUP(A238,TB31032020!$A$11:$C$415,3,0),0)</f>
        <v>6148401</v>
      </c>
      <c r="I238" s="28">
        <v>0</v>
      </c>
      <c r="J238" s="28">
        <f t="shared" si="38"/>
        <v>6148401</v>
      </c>
      <c r="K238" s="28">
        <f>+IFERROR(VLOOKUP(A238,TB310320119!$A$11:$C$422,2,0),0)</f>
        <v>0</v>
      </c>
      <c r="L238" s="28">
        <v>0</v>
      </c>
      <c r="M238" s="28">
        <f t="shared" si="39"/>
        <v>0</v>
      </c>
      <c r="N238" s="28">
        <f>+IFERROR(VLOOKUP(A238,TB310320119!$A$11:$C$421,3,0),0)</f>
        <v>3476359.5</v>
      </c>
      <c r="O238" s="28">
        <v>0</v>
      </c>
      <c r="P238" s="28">
        <f t="shared" si="41"/>
        <v>3476359.5</v>
      </c>
      <c r="Q238" s="20">
        <f t="shared" si="40"/>
        <v>19249521</v>
      </c>
    </row>
    <row r="239" spans="1:17" ht="15" customHeight="1">
      <c r="A239" s="38" t="s">
        <v>196</v>
      </c>
      <c r="B239" s="28">
        <v>15</v>
      </c>
      <c r="C239" s="28" t="s">
        <v>563</v>
      </c>
      <c r="D239" s="28" t="s">
        <v>564</v>
      </c>
      <c r="E239" s="28">
        <f>+IFERROR(VLOOKUP(A239,TB31032020!$A$11:$C$415,2,0),0)</f>
        <v>0</v>
      </c>
      <c r="F239" s="28">
        <v>0</v>
      </c>
      <c r="G239" s="28">
        <f t="shared" si="37"/>
        <v>0</v>
      </c>
      <c r="H239" s="28">
        <f>+IFERROR(VLOOKUP(A239,TB31032020!$A$11:$C$415,3,0),0)</f>
        <v>22611</v>
      </c>
      <c r="I239" s="28">
        <v>0</v>
      </c>
      <c r="J239" s="28">
        <f t="shared" si="38"/>
        <v>22611</v>
      </c>
      <c r="K239" s="28">
        <f>+IFERROR(VLOOKUP(A239,TB310320119!$A$11:$C$422,2,0),0)</f>
        <v>709104</v>
      </c>
      <c r="L239" s="28">
        <v>0</v>
      </c>
      <c r="M239" s="28">
        <f t="shared" si="39"/>
        <v>709104</v>
      </c>
      <c r="N239" s="28">
        <f>+IFERROR(VLOOKUP(A239,TB310320119!$A$11:$C$421,3,0),0)</f>
        <v>0</v>
      </c>
      <c r="O239" s="28">
        <v>0</v>
      </c>
      <c r="P239" s="28">
        <f t="shared" si="41"/>
        <v>0</v>
      </c>
      <c r="Q239" s="20">
        <f t="shared" si="40"/>
        <v>1463430</v>
      </c>
    </row>
    <row r="240" spans="1:17" ht="15" customHeight="1">
      <c r="A240" s="45" t="s">
        <v>198</v>
      </c>
      <c r="B240" s="28">
        <v>12</v>
      </c>
      <c r="C240" s="28" t="s">
        <v>566</v>
      </c>
      <c r="D240" s="28" t="s">
        <v>634</v>
      </c>
      <c r="E240" s="28">
        <f>+IFERROR(VLOOKUP(A240,TB31032020!$A$11:$C$415,2,0),0)</f>
        <v>23000</v>
      </c>
      <c r="F240" s="28">
        <v>0</v>
      </c>
      <c r="G240" s="28">
        <f t="shared" si="37"/>
        <v>23000</v>
      </c>
      <c r="H240" s="28">
        <f>+IFERROR(VLOOKUP(A240,TB31032020!$A$11:$C$415,3,0),0)</f>
        <v>0</v>
      </c>
      <c r="I240" s="28">
        <v>0</v>
      </c>
      <c r="J240" s="28">
        <f t="shared" si="38"/>
        <v>0</v>
      </c>
      <c r="K240" s="28">
        <f>+IFERROR(VLOOKUP(A240,TB310320119!$A$11:$C$422,2,0),0)</f>
        <v>41000</v>
      </c>
      <c r="L240" s="28">
        <v>0</v>
      </c>
      <c r="M240" s="28">
        <f t="shared" si="39"/>
        <v>41000</v>
      </c>
      <c r="N240" s="28">
        <f>+IFERROR(VLOOKUP(A240,TB310320119!$A$11:$C$421,3,0),0)</f>
        <v>0</v>
      </c>
      <c r="O240" s="28">
        <v>0</v>
      </c>
      <c r="P240" s="28">
        <f t="shared" si="41"/>
        <v>0</v>
      </c>
      <c r="Q240" s="20">
        <f t="shared" si="40"/>
        <v>128000</v>
      </c>
    </row>
    <row r="241" spans="1:17" ht="15" customHeight="1">
      <c r="A241" s="40" t="s">
        <v>473</v>
      </c>
      <c r="B241" s="28">
        <v>7</v>
      </c>
      <c r="C241" s="28" t="s">
        <v>561</v>
      </c>
      <c r="D241" s="28" t="s">
        <v>561</v>
      </c>
      <c r="E241" s="28">
        <f>+IFERROR(VLOOKUP(A241,TB31032020!$A$11:$C$415,2,0),0)</f>
        <v>0</v>
      </c>
      <c r="F241" s="28">
        <v>0</v>
      </c>
      <c r="G241" s="28">
        <f t="shared" si="37"/>
        <v>0</v>
      </c>
      <c r="H241" s="28">
        <f>+IFERROR(VLOOKUP(A241,TB31032020!$A$11:$C$415,3,0),0)</f>
        <v>0</v>
      </c>
      <c r="I241" s="28">
        <v>0</v>
      </c>
      <c r="J241" s="28">
        <f t="shared" si="38"/>
        <v>0</v>
      </c>
      <c r="K241" s="28">
        <f>+IFERROR(VLOOKUP(A241,TB310320119!$A$11:$C$422,2,0),0)</f>
        <v>0</v>
      </c>
      <c r="L241" s="28">
        <v>0</v>
      </c>
      <c r="M241" s="28">
        <f t="shared" si="39"/>
        <v>0</v>
      </c>
      <c r="N241" s="28">
        <f>+IFERROR(VLOOKUP(A241,TB310320119!$A$11:$C$421,3,0),0)</f>
        <v>28611</v>
      </c>
      <c r="O241" s="28">
        <v>0</v>
      </c>
      <c r="P241" s="28">
        <f t="shared" si="41"/>
        <v>28611</v>
      </c>
      <c r="Q241" s="20">
        <f t="shared" si="40"/>
        <v>57222</v>
      </c>
    </row>
    <row r="242" spans="1:17" ht="15" customHeight="1">
      <c r="A242" s="33" t="s">
        <v>206</v>
      </c>
      <c r="B242" s="28">
        <v>7</v>
      </c>
      <c r="C242" s="28" t="s">
        <v>561</v>
      </c>
      <c r="D242" s="28" t="s">
        <v>562</v>
      </c>
      <c r="E242" s="28">
        <f>+IFERROR(VLOOKUP(A242,TB31032020!$A$11:$C$415,2,0),0)</f>
        <v>0</v>
      </c>
      <c r="F242" s="28">
        <v>0</v>
      </c>
      <c r="G242" s="28">
        <f t="shared" si="37"/>
        <v>0</v>
      </c>
      <c r="H242" s="28">
        <f>+IFERROR(VLOOKUP(A242,TB31032020!$A$11:$C$415,3,0),0)</f>
        <v>49045</v>
      </c>
      <c r="I242" s="28">
        <v>0</v>
      </c>
      <c r="J242" s="28">
        <f t="shared" si="38"/>
        <v>49045</v>
      </c>
      <c r="K242" s="28">
        <f>+IFERROR(VLOOKUP(A242,TB310320119!$A$11:$C$422,2,0),0)</f>
        <v>0</v>
      </c>
      <c r="L242" s="28">
        <v>0</v>
      </c>
      <c r="M242" s="28">
        <f t="shared" si="39"/>
        <v>0</v>
      </c>
      <c r="N242" s="28">
        <f>+IFERROR(VLOOKUP(A242,TB310320119!$A$11:$C$421,3,0),0)</f>
        <v>44653</v>
      </c>
      <c r="O242" s="28">
        <v>0</v>
      </c>
      <c r="P242" s="28">
        <f t="shared" si="41"/>
        <v>44653</v>
      </c>
      <c r="Q242" s="20">
        <f t="shared" si="40"/>
        <v>187396</v>
      </c>
    </row>
    <row r="243" spans="1:17" ht="15" customHeight="1">
      <c r="A243" s="48" t="s">
        <v>199</v>
      </c>
      <c r="B243" s="28">
        <v>26</v>
      </c>
      <c r="C243" s="28" t="s">
        <v>568</v>
      </c>
      <c r="D243" s="28" t="s">
        <v>569</v>
      </c>
      <c r="E243" s="28">
        <f>+IFERROR(VLOOKUP(A243,TB31032020!$A$11:$C$415,2,0),0)</f>
        <v>14352</v>
      </c>
      <c r="F243" s="28">
        <v>0</v>
      </c>
      <c r="G243" s="28">
        <f t="shared" si="37"/>
        <v>14352</v>
      </c>
      <c r="H243" s="28">
        <f>+IFERROR(VLOOKUP(A243,TB31032020!$A$11:$C$415,3,0),0)</f>
        <v>0</v>
      </c>
      <c r="I243" s="28">
        <v>0</v>
      </c>
      <c r="J243" s="28">
        <f t="shared" si="38"/>
        <v>0</v>
      </c>
      <c r="K243" s="28">
        <f>+IFERROR(VLOOKUP(A243,TB310320119!$A$11:$C$422,2,0),0)</f>
        <v>14688</v>
      </c>
      <c r="L243" s="28">
        <v>0</v>
      </c>
      <c r="M243" s="28">
        <f t="shared" si="39"/>
        <v>14688</v>
      </c>
      <c r="N243" s="28">
        <f>+IFERROR(VLOOKUP(A243,TB310320119!$A$11:$C$421,3,0),0)</f>
        <v>0</v>
      </c>
      <c r="O243" s="28">
        <v>0</v>
      </c>
      <c r="P243" s="28">
        <f t="shared" si="41"/>
        <v>0</v>
      </c>
      <c r="Q243" s="20">
        <f t="shared" si="40"/>
        <v>58080</v>
      </c>
    </row>
    <row r="244" spans="1:17" ht="15" customHeight="1">
      <c r="A244" s="28" t="s">
        <v>200</v>
      </c>
      <c r="B244" s="28">
        <v>7</v>
      </c>
      <c r="C244" s="28" t="s">
        <v>561</v>
      </c>
      <c r="D244" s="28" t="s">
        <v>561</v>
      </c>
      <c r="E244" s="28">
        <f>+IFERROR(VLOOKUP(A244,TB31032020!$A$11:$C$415,2,0),0)</f>
        <v>0</v>
      </c>
      <c r="F244" s="28">
        <v>0</v>
      </c>
      <c r="G244" s="28">
        <f t="shared" si="37"/>
        <v>0</v>
      </c>
      <c r="H244" s="28">
        <f>+IFERROR(VLOOKUP(A244,TB31032020!$A$11:$C$415,3,0),0)</f>
        <v>2096163</v>
      </c>
      <c r="I244" s="28">
        <v>0</v>
      </c>
      <c r="J244" s="28">
        <f t="shared" si="38"/>
        <v>2096163</v>
      </c>
      <c r="K244" s="28">
        <f>+IFERROR(VLOOKUP(A244,TB310320119!$A$11:$C$422,2,0),0)</f>
        <v>0</v>
      </c>
      <c r="L244" s="28">
        <v>0</v>
      </c>
      <c r="M244" s="28">
        <f t="shared" si="39"/>
        <v>0</v>
      </c>
      <c r="N244" s="28">
        <f>+IFERROR(VLOOKUP(A244,TB310320119!$A$11:$C$421,3,0),0)</f>
        <v>1191319</v>
      </c>
      <c r="O244" s="28">
        <v>0</v>
      </c>
      <c r="P244" s="28">
        <f t="shared" si="41"/>
        <v>1191319</v>
      </c>
      <c r="Q244" s="20">
        <f t="shared" si="40"/>
        <v>6574964</v>
      </c>
    </row>
    <row r="245" spans="1:17" ht="15" customHeight="1">
      <c r="A245" s="42" t="s">
        <v>201</v>
      </c>
      <c r="B245" s="28">
        <v>15</v>
      </c>
      <c r="C245" s="28" t="s">
        <v>563</v>
      </c>
      <c r="D245" s="28" t="s">
        <v>563</v>
      </c>
      <c r="E245" s="28">
        <f>+IFERROR(VLOOKUP(A245,TB31032020!$A$11:$C$415,2,0),0)</f>
        <v>16519422</v>
      </c>
      <c r="F245" s="28">
        <v>0</v>
      </c>
      <c r="G245" s="28">
        <f t="shared" si="37"/>
        <v>16519422</v>
      </c>
      <c r="H245" s="28">
        <f>+IFERROR(VLOOKUP(A245,TB31032020!$A$11:$C$415,3,0),0)</f>
        <v>0</v>
      </c>
      <c r="I245" s="28">
        <v>0</v>
      </c>
      <c r="J245" s="28">
        <f t="shared" si="38"/>
        <v>0</v>
      </c>
      <c r="K245" s="28">
        <f>+IFERROR(VLOOKUP(A245,TB310320119!$A$11:$C$422,2,0),0)</f>
        <v>14635343</v>
      </c>
      <c r="L245" s="28">
        <v>0</v>
      </c>
      <c r="M245" s="28">
        <f t="shared" si="39"/>
        <v>14635343</v>
      </c>
      <c r="N245" s="28">
        <f>+IFERROR(VLOOKUP(A245,TB310320119!$A$11:$C$421,3,0),0)</f>
        <v>0</v>
      </c>
      <c r="O245" s="28">
        <v>0</v>
      </c>
      <c r="P245" s="28">
        <f t="shared" si="41"/>
        <v>0</v>
      </c>
      <c r="Q245" s="20">
        <f t="shared" si="40"/>
        <v>62309530</v>
      </c>
    </row>
    <row r="246" spans="1:17" ht="15" customHeight="1">
      <c r="A246" s="42" t="s">
        <v>202</v>
      </c>
      <c r="B246" s="28">
        <v>7</v>
      </c>
      <c r="C246" s="28" t="s">
        <v>561</v>
      </c>
      <c r="D246" s="28" t="s">
        <v>561</v>
      </c>
      <c r="E246" s="28">
        <f>+IFERROR(VLOOKUP(A246,TB31032020!$A$11:$C$415,2,0),0)</f>
        <v>0</v>
      </c>
      <c r="F246" s="28">
        <v>0</v>
      </c>
      <c r="G246" s="28">
        <f t="shared" si="37"/>
        <v>0</v>
      </c>
      <c r="H246" s="28">
        <f>+IFERROR(VLOOKUP(A246,TB31032020!$A$11:$C$415,3,0),0)</f>
        <v>635040</v>
      </c>
      <c r="I246" s="28">
        <v>0</v>
      </c>
      <c r="J246" s="28">
        <f t="shared" si="38"/>
        <v>635040</v>
      </c>
      <c r="K246" s="28">
        <f>+IFERROR(VLOOKUP(A246,TB310320119!$A$11:$C$422,2,0),0)</f>
        <v>0</v>
      </c>
      <c r="L246" s="28">
        <v>0</v>
      </c>
      <c r="M246" s="28">
        <f t="shared" si="39"/>
        <v>0</v>
      </c>
      <c r="N246" s="28">
        <f>+IFERROR(VLOOKUP(A246,TB310320119!$A$11:$C$421,3,0),0)</f>
        <v>2736592</v>
      </c>
      <c r="O246" s="28">
        <v>0</v>
      </c>
      <c r="P246" s="28">
        <f t="shared" si="41"/>
        <v>2736592</v>
      </c>
      <c r="Q246" s="20">
        <f t="shared" si="40"/>
        <v>6743264</v>
      </c>
    </row>
    <row r="247" spans="1:17" ht="15" customHeight="1">
      <c r="A247" s="42" t="s">
        <v>472</v>
      </c>
      <c r="B247" s="28">
        <v>26</v>
      </c>
      <c r="C247" s="28" t="s">
        <v>568</v>
      </c>
      <c r="D247" s="28" t="s">
        <v>569</v>
      </c>
      <c r="E247" s="28">
        <f>+IFERROR(VLOOKUP(A247,TB31032020!$A$11:$C$415,2,0),0)</f>
        <v>0</v>
      </c>
      <c r="F247" s="28">
        <v>0</v>
      </c>
      <c r="G247" s="28">
        <f t="shared" si="37"/>
        <v>0</v>
      </c>
      <c r="H247" s="28">
        <f>+IFERROR(VLOOKUP(A247,TB31032020!$A$11:$C$415,3,0),0)</f>
        <v>0</v>
      </c>
      <c r="I247" s="28">
        <v>0</v>
      </c>
      <c r="J247" s="28">
        <f t="shared" si="38"/>
        <v>0</v>
      </c>
      <c r="K247" s="28">
        <f>+IFERROR(VLOOKUP(A247,TB310320119!$A$11:$C$422,2,0),0)</f>
        <v>3450</v>
      </c>
      <c r="L247" s="28">
        <v>0</v>
      </c>
      <c r="M247" s="28">
        <f t="shared" si="39"/>
        <v>3450</v>
      </c>
      <c r="N247" s="28">
        <f>+IFERROR(VLOOKUP(A247,TB310320119!$A$11:$C$421,3,0),0)</f>
        <v>0</v>
      </c>
      <c r="O247" s="28">
        <v>0</v>
      </c>
      <c r="P247" s="28">
        <f t="shared" si="41"/>
        <v>0</v>
      </c>
      <c r="Q247" s="20">
        <f t="shared" si="40"/>
        <v>6900</v>
      </c>
    </row>
    <row r="248" spans="1:17" ht="15" customHeight="1">
      <c r="A248" s="28" t="s">
        <v>669</v>
      </c>
      <c r="B248" s="28">
        <v>25</v>
      </c>
      <c r="C248" s="28" t="s">
        <v>589</v>
      </c>
      <c r="D248" s="28" t="s">
        <v>660</v>
      </c>
      <c r="E248" s="28">
        <f>+IFERROR(VLOOKUP(A248,TB31032020!$A$11:$C$415,2,0),0)</f>
        <v>0</v>
      </c>
      <c r="F248" s="28">
        <v>0</v>
      </c>
      <c r="G248" s="28">
        <f t="shared" si="37"/>
        <v>0</v>
      </c>
      <c r="H248" s="28">
        <f>+IFERROR(VLOOKUP(A248,TB31032020!$A$11:$C$415,3,0),0)</f>
        <v>0</v>
      </c>
      <c r="I248" s="28">
        <v>0</v>
      </c>
      <c r="J248" s="28">
        <f t="shared" si="38"/>
        <v>0</v>
      </c>
      <c r="K248" s="28">
        <f>+IFERROR(VLOOKUP(A248,TB310320119!$A$11:$C$422,2,0),0)</f>
        <v>6243</v>
      </c>
      <c r="L248" s="28">
        <v>0</v>
      </c>
      <c r="M248" s="28">
        <f t="shared" si="39"/>
        <v>6243</v>
      </c>
      <c r="N248" s="28">
        <f>+IFERROR(VLOOKUP(A248,TB310320119!$A$11:$C$421,3,0),0)</f>
        <v>0</v>
      </c>
      <c r="O248" s="28">
        <v>0</v>
      </c>
      <c r="P248" s="28">
        <f t="shared" si="41"/>
        <v>0</v>
      </c>
      <c r="Q248" s="20">
        <f t="shared" si="40"/>
        <v>12486</v>
      </c>
    </row>
    <row r="249" spans="1:17" ht="15" customHeight="1">
      <c r="A249" s="28" t="s">
        <v>203</v>
      </c>
      <c r="B249" s="28">
        <v>24</v>
      </c>
      <c r="C249" s="28" t="s">
        <v>579</v>
      </c>
      <c r="D249" s="28" t="s">
        <v>580</v>
      </c>
      <c r="E249" s="28">
        <f>+IFERROR(VLOOKUP(A249,TB31032020!$A$11:$C$415,2,0),0)</f>
        <v>195649</v>
      </c>
      <c r="F249" s="28">
        <v>0</v>
      </c>
      <c r="G249" s="28">
        <f t="shared" si="37"/>
        <v>195649</v>
      </c>
      <c r="H249" s="28">
        <f>+IFERROR(VLOOKUP(A249,TB31032020!$A$11:$C$415,3,0),0)</f>
        <v>0</v>
      </c>
      <c r="I249" s="28">
        <v>0</v>
      </c>
      <c r="J249" s="28">
        <f t="shared" si="38"/>
        <v>0</v>
      </c>
      <c r="K249" s="28">
        <f>+IFERROR(VLOOKUP(A249,TB310320119!$A$11:$C$422,2,0),0)</f>
        <v>247570</v>
      </c>
      <c r="L249" s="28">
        <v>0</v>
      </c>
      <c r="M249" s="28">
        <f t="shared" si="39"/>
        <v>247570</v>
      </c>
      <c r="N249" s="28">
        <f>+IFERROR(VLOOKUP(A249,TB310320119!$A$11:$C$421,3,0),0)</f>
        <v>0</v>
      </c>
      <c r="O249" s="28">
        <v>0</v>
      </c>
      <c r="P249" s="28">
        <f t="shared" si="41"/>
        <v>0</v>
      </c>
      <c r="Q249" s="20">
        <f t="shared" si="40"/>
        <v>886438</v>
      </c>
    </row>
    <row r="250" spans="1:17" ht="15" customHeight="1">
      <c r="A250" s="28" t="s">
        <v>204</v>
      </c>
      <c r="B250" s="28">
        <v>9</v>
      </c>
      <c r="C250" s="28" t="s">
        <v>627</v>
      </c>
      <c r="D250" s="28" t="s">
        <v>628</v>
      </c>
      <c r="E250" s="28">
        <f>+IFERROR(VLOOKUP(A250,TB31032020!$A$11:$C$415,2,0),0)</f>
        <v>0</v>
      </c>
      <c r="F250" s="28">
        <v>0</v>
      </c>
      <c r="G250" s="28">
        <f t="shared" si="37"/>
        <v>0</v>
      </c>
      <c r="H250" s="28">
        <f>+IFERROR(VLOOKUP(A250,TB31032020!$A$11:$C$415,3,0),0)</f>
        <v>195649</v>
      </c>
      <c r="I250" s="28">
        <v>0</v>
      </c>
      <c r="J250" s="28">
        <f t="shared" si="38"/>
        <v>195649</v>
      </c>
      <c r="K250" s="28">
        <f>+IFERROR(VLOOKUP(A250,TB310320119!$A$11:$C$422,2,0),0)</f>
        <v>0</v>
      </c>
      <c r="L250" s="28">
        <v>0</v>
      </c>
      <c r="M250" s="28">
        <f t="shared" si="39"/>
        <v>0</v>
      </c>
      <c r="N250" s="28">
        <f>+IFERROR(VLOOKUP(A250,TB310320119!$A$11:$C$421,3,0),0)</f>
        <v>184974</v>
      </c>
      <c r="O250" s="28">
        <v>0</v>
      </c>
      <c r="P250" s="28">
        <f t="shared" si="41"/>
        <v>184974</v>
      </c>
      <c r="Q250" s="20">
        <f t="shared" si="40"/>
        <v>761246</v>
      </c>
    </row>
    <row r="251" spans="1:17" ht="15" customHeight="1">
      <c r="A251" s="28" t="s">
        <v>205</v>
      </c>
      <c r="B251" s="28">
        <v>26</v>
      </c>
      <c r="C251" s="28" t="s">
        <v>568</v>
      </c>
      <c r="D251" s="28" t="s">
        <v>609</v>
      </c>
      <c r="E251" s="28">
        <f>+IFERROR(VLOOKUP(A251,TB31032020!$A$11:$C$415,2,0),0)</f>
        <v>133198.18</v>
      </c>
      <c r="F251" s="28">
        <v>0</v>
      </c>
      <c r="G251" s="28">
        <f t="shared" si="37"/>
        <v>133198.18</v>
      </c>
      <c r="H251" s="28">
        <f>+IFERROR(VLOOKUP(A251,TB31032020!$A$11:$C$415,3,0),0)</f>
        <v>0</v>
      </c>
      <c r="I251" s="28">
        <v>0</v>
      </c>
      <c r="J251" s="28">
        <f t="shared" si="38"/>
        <v>0</v>
      </c>
      <c r="K251" s="28">
        <f>+IFERROR(VLOOKUP(A251,TB310320119!$A$11:$C$422,2,0),0)</f>
        <v>642892</v>
      </c>
      <c r="L251" s="28">
        <v>0</v>
      </c>
      <c r="M251" s="28">
        <f t="shared" si="39"/>
        <v>642892</v>
      </c>
      <c r="N251" s="28">
        <f>+IFERROR(VLOOKUP(A251,TB310320119!$A$11:$C$421,3,0),0)</f>
        <v>0</v>
      </c>
      <c r="O251" s="28">
        <v>0</v>
      </c>
      <c r="P251" s="28">
        <f t="shared" si="41"/>
        <v>0</v>
      </c>
      <c r="Q251" s="20">
        <f t="shared" si="40"/>
        <v>1552180.3599999999</v>
      </c>
    </row>
    <row r="252" spans="1:17" ht="15" customHeight="1">
      <c r="A252" s="48" t="s">
        <v>207</v>
      </c>
      <c r="B252" s="28">
        <v>15</v>
      </c>
      <c r="C252" s="28" t="s">
        <v>563</v>
      </c>
      <c r="D252" s="28" t="s">
        <v>564</v>
      </c>
      <c r="E252" s="28">
        <f>+IFERROR(VLOOKUP(A252,TB31032020!$A$11:$C$415,2,0),0)</f>
        <v>288108</v>
      </c>
      <c r="F252" s="28">
        <v>0</v>
      </c>
      <c r="G252" s="28">
        <f t="shared" si="37"/>
        <v>288108</v>
      </c>
      <c r="H252" s="28">
        <f>+IFERROR(VLOOKUP(A252,TB31032020!$A$11:$C$415,3,0),0)</f>
        <v>0</v>
      </c>
      <c r="I252" s="28">
        <v>0</v>
      </c>
      <c r="J252" s="28">
        <f t="shared" si="38"/>
        <v>0</v>
      </c>
      <c r="K252" s="28">
        <f>+IFERROR(VLOOKUP(A252,TB310320119!$A$11:$C$422,2,0),0)</f>
        <v>250640</v>
      </c>
      <c r="L252" s="28">
        <v>0</v>
      </c>
      <c r="M252" s="28">
        <f t="shared" si="39"/>
        <v>250640</v>
      </c>
      <c r="N252" s="28">
        <f>+IFERROR(VLOOKUP(A252,TB310320119!$A$11:$C$421,3,0),0)</f>
        <v>0</v>
      </c>
      <c r="O252" s="28">
        <v>0</v>
      </c>
      <c r="P252" s="28">
        <f t="shared" si="41"/>
        <v>0</v>
      </c>
      <c r="Q252" s="20">
        <f t="shared" si="40"/>
        <v>1077496</v>
      </c>
    </row>
    <row r="253" spans="1:17" ht="15" customHeight="1">
      <c r="A253" s="67" t="s">
        <v>208</v>
      </c>
      <c r="B253" s="28">
        <v>7</v>
      </c>
      <c r="C253" s="28" t="s">
        <v>561</v>
      </c>
      <c r="D253" s="28" t="s">
        <v>561</v>
      </c>
      <c r="E253" s="28">
        <f>+IFERROR(VLOOKUP(A253,TB31032020!$A$11:$C$415,2,0),0)</f>
        <v>0</v>
      </c>
      <c r="F253" s="28">
        <v>0</v>
      </c>
      <c r="G253" s="28">
        <f t="shared" si="37"/>
        <v>0</v>
      </c>
      <c r="H253" s="28">
        <f>+IFERROR(VLOOKUP(A253,TB31032020!$A$11:$C$415,3,0),0)</f>
        <v>9718147</v>
      </c>
      <c r="I253" s="28">
        <v>0</v>
      </c>
      <c r="J253" s="28">
        <f t="shared" si="38"/>
        <v>9718147</v>
      </c>
      <c r="K253" s="28">
        <f>+IFERROR(VLOOKUP(A253,TB310320119!$A$11:$C$422,2,0),0)</f>
        <v>0</v>
      </c>
      <c r="L253" s="28">
        <v>0</v>
      </c>
      <c r="M253" s="28">
        <f t="shared" si="39"/>
        <v>0</v>
      </c>
      <c r="N253" s="28">
        <f>+IFERROR(VLOOKUP(A253,TB310320119!$A$11:$C$421,3,0),0)</f>
        <v>0</v>
      </c>
      <c r="O253" s="28">
        <v>0</v>
      </c>
      <c r="P253" s="28">
        <f t="shared" si="41"/>
        <v>0</v>
      </c>
      <c r="Q253" s="20">
        <f t="shared" si="40"/>
        <v>19436294</v>
      </c>
    </row>
    <row r="254" spans="1:17" ht="15" customHeight="1">
      <c r="A254" s="42" t="s">
        <v>209</v>
      </c>
      <c r="B254" s="28">
        <v>26</v>
      </c>
      <c r="C254" s="28" t="s">
        <v>568</v>
      </c>
      <c r="D254" s="28" t="s">
        <v>599</v>
      </c>
      <c r="E254" s="28">
        <f>+IFERROR(VLOOKUP(A254,TB31032020!$A$11:$C$415,2,0),0)</f>
        <v>149343</v>
      </c>
      <c r="F254" s="28">
        <v>0</v>
      </c>
      <c r="G254" s="28">
        <f t="shared" si="37"/>
        <v>149343</v>
      </c>
      <c r="H254" s="28">
        <f>+IFERROR(VLOOKUP(A254,TB31032020!$A$11:$C$415,3,0),0)</f>
        <v>0</v>
      </c>
      <c r="I254" s="28">
        <v>0</v>
      </c>
      <c r="J254" s="28">
        <f t="shared" si="38"/>
        <v>0</v>
      </c>
      <c r="K254" s="28">
        <f>+IFERROR(VLOOKUP(A254,TB310320119!$A$11:$C$422,2,0),0)</f>
        <v>149546</v>
      </c>
      <c r="L254" s="28">
        <v>0</v>
      </c>
      <c r="M254" s="28">
        <f t="shared" si="39"/>
        <v>149546</v>
      </c>
      <c r="N254" s="28">
        <f>+IFERROR(VLOOKUP(A254,TB310320119!$A$11:$C$421,3,0),0)</f>
        <v>0</v>
      </c>
      <c r="O254" s="28">
        <v>0</v>
      </c>
      <c r="P254" s="28">
        <f t="shared" si="41"/>
        <v>0</v>
      </c>
      <c r="Q254" s="20">
        <f t="shared" si="40"/>
        <v>597778</v>
      </c>
    </row>
    <row r="255" spans="1:17" ht="15" customHeight="1">
      <c r="A255" s="28" t="s">
        <v>210</v>
      </c>
      <c r="B255" s="28">
        <v>26</v>
      </c>
      <c r="C255" s="28" t="s">
        <v>568</v>
      </c>
      <c r="D255" s="28" t="s">
        <v>599</v>
      </c>
      <c r="E255" s="28">
        <f>+IFERROR(VLOOKUP(A255,TB31032020!$A$11:$C$415,2,0),0)</f>
        <v>969798</v>
      </c>
      <c r="F255" s="28">
        <v>0</v>
      </c>
      <c r="G255" s="28">
        <f t="shared" si="37"/>
        <v>969798</v>
      </c>
      <c r="H255" s="28">
        <f>+IFERROR(VLOOKUP(A255,TB31032020!$A$11:$C$415,3,0),0)</f>
        <v>0</v>
      </c>
      <c r="I255" s="28">
        <v>0</v>
      </c>
      <c r="J255" s="28">
        <f t="shared" si="38"/>
        <v>0</v>
      </c>
      <c r="K255" s="28">
        <f>+IFERROR(VLOOKUP(A255,TB310320119!$A$11:$C$422,2,0),0)</f>
        <v>994957</v>
      </c>
      <c r="L255" s="28">
        <v>0</v>
      </c>
      <c r="M255" s="28">
        <f t="shared" si="39"/>
        <v>994957</v>
      </c>
      <c r="N255" s="28">
        <f>+IFERROR(VLOOKUP(A255,TB310320119!$A$11:$C$421,3,0),0)</f>
        <v>0</v>
      </c>
      <c r="O255" s="28">
        <v>0</v>
      </c>
      <c r="P255" s="28">
        <f t="shared" si="41"/>
        <v>0</v>
      </c>
      <c r="Q255" s="20">
        <f t="shared" si="40"/>
        <v>3929510</v>
      </c>
    </row>
    <row r="256" spans="1:17" ht="15" customHeight="1">
      <c r="A256" s="28" t="s">
        <v>670</v>
      </c>
      <c r="B256" s="28">
        <v>26</v>
      </c>
      <c r="C256" s="28" t="s">
        <v>568</v>
      </c>
      <c r="D256" s="28" t="s">
        <v>599</v>
      </c>
      <c r="E256" s="28">
        <f>+IFERROR(VLOOKUP(A256,TB31032020!$A$11:$C$415,2,0),0)</f>
        <v>1446914</v>
      </c>
      <c r="F256" s="28">
        <v>0</v>
      </c>
      <c r="G256" s="28">
        <f t="shared" si="37"/>
        <v>1446914</v>
      </c>
      <c r="H256" s="28">
        <f>+IFERROR(VLOOKUP(A256,TB31032020!$A$11:$C$415,3,0),0)</f>
        <v>0</v>
      </c>
      <c r="I256" s="28">
        <v>0</v>
      </c>
      <c r="J256" s="28">
        <f t="shared" si="38"/>
        <v>0</v>
      </c>
      <c r="K256" s="28">
        <f>+IFERROR(VLOOKUP(A256,TB310320119!$A$11:$C$422,2,0),0)</f>
        <v>938573.13</v>
      </c>
      <c r="L256" s="28">
        <v>0</v>
      </c>
      <c r="M256" s="28">
        <f t="shared" si="39"/>
        <v>938573.13</v>
      </c>
      <c r="N256" s="28">
        <f>+IFERROR(VLOOKUP(A256,TB310320119!$A$11:$C$421,3,0),0)</f>
        <v>0</v>
      </c>
      <c r="O256" s="28">
        <v>0</v>
      </c>
      <c r="P256" s="28">
        <f t="shared" si="41"/>
        <v>0</v>
      </c>
      <c r="Q256" s="20">
        <f t="shared" si="40"/>
        <v>4770974.26</v>
      </c>
    </row>
    <row r="257" spans="1:17" ht="15" customHeight="1">
      <c r="A257" s="28" t="s">
        <v>211</v>
      </c>
      <c r="B257" s="28">
        <v>26</v>
      </c>
      <c r="C257" s="28" t="s">
        <v>568</v>
      </c>
      <c r="D257" s="28" t="s">
        <v>599</v>
      </c>
      <c r="E257" s="28">
        <f>+IFERROR(VLOOKUP(A257,TB31032020!$A$11:$C$415,2,0),0)</f>
        <v>10783983.359999999</v>
      </c>
      <c r="F257" s="28">
        <v>0</v>
      </c>
      <c r="G257" s="28">
        <f t="shared" si="37"/>
        <v>10783983.359999999</v>
      </c>
      <c r="H257" s="28">
        <f>+IFERROR(VLOOKUP(A257,TB31032020!$A$11:$C$415,3,0),0)</f>
        <v>0</v>
      </c>
      <c r="I257" s="28">
        <v>0</v>
      </c>
      <c r="J257" s="28">
        <f t="shared" si="38"/>
        <v>0</v>
      </c>
      <c r="K257" s="28">
        <f>+IFERROR(VLOOKUP(A257,TB310320119!$A$11:$C$422,2,0),0)</f>
        <v>17174810.899999999</v>
      </c>
      <c r="L257" s="28">
        <v>0</v>
      </c>
      <c r="M257" s="28">
        <f t="shared" si="39"/>
        <v>17174810.899999999</v>
      </c>
      <c r="N257" s="28">
        <f>+IFERROR(VLOOKUP(A257,TB310320119!$A$11:$C$421,3,0),0)</f>
        <v>0</v>
      </c>
      <c r="O257" s="28">
        <v>0</v>
      </c>
      <c r="P257" s="28">
        <f t="shared" si="41"/>
        <v>0</v>
      </c>
      <c r="Q257" s="20">
        <f t="shared" si="40"/>
        <v>55917588.519999996</v>
      </c>
    </row>
    <row r="258" spans="1:17" ht="15" customHeight="1">
      <c r="A258" s="37" t="s">
        <v>671</v>
      </c>
      <c r="B258" s="28">
        <v>7</v>
      </c>
      <c r="C258" s="28" t="s">
        <v>561</v>
      </c>
      <c r="D258" s="28" t="s">
        <v>561</v>
      </c>
      <c r="E258" s="28">
        <f>+IFERROR(VLOOKUP(A258,TB31032020!$A$11:$C$415,2,0),0)</f>
        <v>0</v>
      </c>
      <c r="F258" s="28">
        <v>0</v>
      </c>
      <c r="G258" s="28">
        <f t="shared" si="37"/>
        <v>0</v>
      </c>
      <c r="H258" s="28">
        <f>+IFERROR(VLOOKUP(A258,TB31032020!$A$11:$C$415,3,0),0)</f>
        <v>55663</v>
      </c>
      <c r="I258" s="28">
        <v>0</v>
      </c>
      <c r="J258" s="28">
        <f t="shared" si="38"/>
        <v>55663</v>
      </c>
      <c r="K258" s="28">
        <f>+IFERROR(VLOOKUP(A258,TB310320119!$A$11:$C$422,2,0),0)</f>
        <v>0</v>
      </c>
      <c r="L258" s="28">
        <v>0</v>
      </c>
      <c r="M258" s="28">
        <f t="shared" si="39"/>
        <v>0</v>
      </c>
      <c r="N258" s="28">
        <f>+IFERROR(VLOOKUP(A258,TB310320119!$A$11:$C$421,3,0),0)</f>
        <v>54944</v>
      </c>
      <c r="O258" s="28">
        <v>0</v>
      </c>
      <c r="P258" s="28">
        <f t="shared" si="41"/>
        <v>54944</v>
      </c>
      <c r="Q258" s="20">
        <f t="shared" si="40"/>
        <v>221214</v>
      </c>
    </row>
    <row r="259" spans="1:17" ht="15" customHeight="1">
      <c r="A259" s="33" t="s">
        <v>214</v>
      </c>
      <c r="B259" s="28">
        <v>17</v>
      </c>
      <c r="C259" s="28" t="s">
        <v>572</v>
      </c>
      <c r="D259" s="28" t="s">
        <v>573</v>
      </c>
      <c r="E259" s="28">
        <f>+IFERROR(VLOOKUP(A259,TB31032020!$A$11:$C$415,2,0),0)</f>
        <v>4609940</v>
      </c>
      <c r="F259" s="28">
        <v>0</v>
      </c>
      <c r="G259" s="28">
        <f t="shared" si="37"/>
        <v>4609940</v>
      </c>
      <c r="H259" s="28">
        <f>+IFERROR(VLOOKUP(A259,TB31032020!$A$11:$C$415,3,0),0)</f>
        <v>0</v>
      </c>
      <c r="I259" s="28">
        <v>0</v>
      </c>
      <c r="J259" s="28">
        <f t="shared" si="38"/>
        <v>0</v>
      </c>
      <c r="K259" s="28">
        <f>+IFERROR(VLOOKUP(A259,TB310320119!$A$11:$C$422,2,0),0)</f>
        <v>5000454</v>
      </c>
      <c r="L259" s="28">
        <v>0</v>
      </c>
      <c r="M259" s="28">
        <f t="shared" si="39"/>
        <v>5000454</v>
      </c>
      <c r="N259" s="28">
        <f>+IFERROR(VLOOKUP(A259,TB310320119!$A$11:$C$421,3,0),0)</f>
        <v>0</v>
      </c>
      <c r="O259" s="28">
        <v>0</v>
      </c>
      <c r="P259" s="28">
        <f t="shared" si="41"/>
        <v>0</v>
      </c>
      <c r="Q259" s="20">
        <f t="shared" si="40"/>
        <v>19220788</v>
      </c>
    </row>
    <row r="260" spans="1:17" ht="15" customHeight="1">
      <c r="A260" s="29" t="s">
        <v>475</v>
      </c>
      <c r="B260" s="28">
        <v>12</v>
      </c>
      <c r="C260" s="28" t="s">
        <v>566</v>
      </c>
      <c r="D260" s="28" t="s">
        <v>634</v>
      </c>
      <c r="E260" s="28">
        <f>+IFERROR(VLOOKUP(A260,TB31032020!$A$11:$C$415,2,0),0)</f>
        <v>0</v>
      </c>
      <c r="F260" s="28">
        <v>0</v>
      </c>
      <c r="G260" s="28">
        <f t="shared" si="37"/>
        <v>0</v>
      </c>
      <c r="H260" s="28">
        <f>+IFERROR(VLOOKUP(A260,TB31032020!$A$11:$C$415,3,0),0)</f>
        <v>0</v>
      </c>
      <c r="I260" s="28">
        <v>0</v>
      </c>
      <c r="J260" s="28">
        <f t="shared" si="38"/>
        <v>0</v>
      </c>
      <c r="K260" s="28">
        <f>+IFERROR(VLOOKUP(A260,TB310320119!$A$11:$C$422,2,0),0)</f>
        <v>7000</v>
      </c>
      <c r="L260" s="28">
        <v>0</v>
      </c>
      <c r="M260" s="28">
        <f t="shared" si="39"/>
        <v>7000</v>
      </c>
      <c r="N260" s="28">
        <f>+IFERROR(VLOOKUP(A260,TB310320119!$A$11:$C$421,3,0),0)</f>
        <v>0</v>
      </c>
      <c r="O260" s="28">
        <v>0</v>
      </c>
      <c r="P260" s="28">
        <f t="shared" si="41"/>
        <v>0</v>
      </c>
      <c r="Q260" s="20">
        <f t="shared" si="40"/>
        <v>14000</v>
      </c>
    </row>
    <row r="261" spans="1:17" ht="15" customHeight="1">
      <c r="A261" s="30" t="s">
        <v>215</v>
      </c>
      <c r="B261" s="28">
        <v>7</v>
      </c>
      <c r="C261" s="28" t="s">
        <v>561</v>
      </c>
      <c r="D261" s="28" t="s">
        <v>562</v>
      </c>
      <c r="E261" s="28">
        <f>+IFERROR(VLOOKUP(A261,TB31032020!$A$11:$C$415,2,0),0)</f>
        <v>18479</v>
      </c>
      <c r="F261" s="28">
        <v>0</v>
      </c>
      <c r="G261" s="28">
        <f t="shared" si="37"/>
        <v>18479</v>
      </c>
      <c r="H261" s="28">
        <f>+IFERROR(VLOOKUP(A261,TB31032020!$A$11:$C$415,3,0),0)</f>
        <v>0</v>
      </c>
      <c r="I261" s="28">
        <v>0</v>
      </c>
      <c r="J261" s="28">
        <f t="shared" si="38"/>
        <v>0</v>
      </c>
      <c r="K261" s="28">
        <f>+IFERROR(VLOOKUP(A261,TB310320119!$A$11:$C$422,2,0),0)</f>
        <v>0</v>
      </c>
      <c r="L261" s="28">
        <v>0</v>
      </c>
      <c r="M261" s="28">
        <f t="shared" si="39"/>
        <v>0</v>
      </c>
      <c r="N261" s="28">
        <f>+IFERROR(VLOOKUP(A261,TB310320119!$A$11:$C$421,3,0),0)</f>
        <v>0</v>
      </c>
      <c r="O261" s="28">
        <v>0</v>
      </c>
      <c r="P261" s="28">
        <f t="shared" si="41"/>
        <v>0</v>
      </c>
      <c r="Q261" s="20">
        <f t="shared" si="40"/>
        <v>36958</v>
      </c>
    </row>
    <row r="262" spans="1:17" ht="15" customHeight="1">
      <c r="A262" s="33" t="s">
        <v>216</v>
      </c>
      <c r="B262" s="28">
        <v>7</v>
      </c>
      <c r="C262" s="28" t="s">
        <v>561</v>
      </c>
      <c r="D262" s="28" t="s">
        <v>562</v>
      </c>
      <c r="E262" s="28">
        <f>+IFERROR(VLOOKUP(A262,TB31032020!$A$11:$C$415,2,0),0)</f>
        <v>0</v>
      </c>
      <c r="F262" s="28">
        <v>0</v>
      </c>
      <c r="G262" s="28">
        <f t="shared" si="37"/>
        <v>0</v>
      </c>
      <c r="H262" s="28">
        <f>+IFERROR(VLOOKUP(A262,TB31032020!$A$11:$C$415,3,0),0)</f>
        <v>15790</v>
      </c>
      <c r="I262" s="28">
        <v>0</v>
      </c>
      <c r="J262" s="28">
        <f t="shared" si="38"/>
        <v>15790</v>
      </c>
      <c r="K262" s="28">
        <f>+IFERROR(VLOOKUP(A262,TB310320119!$A$11:$C$422,2,0),0)</f>
        <v>0</v>
      </c>
      <c r="L262" s="28">
        <v>0</v>
      </c>
      <c r="M262" s="28">
        <f t="shared" si="39"/>
        <v>0</v>
      </c>
      <c r="N262" s="28">
        <f>+IFERROR(VLOOKUP(A262,TB310320119!$A$11:$C$421,3,0),0)</f>
        <v>15950</v>
      </c>
      <c r="O262" s="28">
        <v>0</v>
      </c>
      <c r="P262" s="28">
        <f t="shared" si="41"/>
        <v>15950</v>
      </c>
      <c r="Q262" s="20">
        <f t="shared" si="40"/>
        <v>63480</v>
      </c>
    </row>
    <row r="263" spans="1:17" ht="15" customHeight="1">
      <c r="A263" s="36" t="s">
        <v>217</v>
      </c>
      <c r="B263" s="28">
        <v>12</v>
      </c>
      <c r="C263" s="28" t="s">
        <v>566</v>
      </c>
      <c r="D263" s="28" t="s">
        <v>634</v>
      </c>
      <c r="E263" s="28">
        <f>+IFERROR(VLOOKUP(A263,TB31032020!$A$11:$C$415,2,0),0)</f>
        <v>6000</v>
      </c>
      <c r="F263" s="28">
        <v>0</v>
      </c>
      <c r="G263" s="28">
        <f t="shared" ref="G263:G326" si="42">+E263+F263</f>
        <v>6000</v>
      </c>
      <c r="H263" s="28">
        <f>+IFERROR(VLOOKUP(A263,TB31032020!$A$11:$C$415,3,0),0)</f>
        <v>0</v>
      </c>
      <c r="I263" s="28">
        <v>0</v>
      </c>
      <c r="J263" s="28">
        <f t="shared" ref="J263:J326" si="43">+H263+I263</f>
        <v>0</v>
      </c>
      <c r="K263" s="28">
        <f>+IFERROR(VLOOKUP(A263,TB310320119!$A$11:$C$422,2,0),0)</f>
        <v>0</v>
      </c>
      <c r="L263" s="28">
        <v>0</v>
      </c>
      <c r="M263" s="28">
        <f t="shared" si="39"/>
        <v>0</v>
      </c>
      <c r="N263" s="28">
        <f>+IFERROR(VLOOKUP(A263,TB310320119!$A$11:$C$421,3,0),0)</f>
        <v>0</v>
      </c>
      <c r="O263" s="28">
        <v>0</v>
      </c>
      <c r="P263" s="28">
        <f t="shared" si="41"/>
        <v>0</v>
      </c>
      <c r="Q263" s="20">
        <f t="shared" si="40"/>
        <v>12000</v>
      </c>
    </row>
    <row r="264" spans="1:17" ht="15" customHeight="1">
      <c r="A264" s="40" t="s">
        <v>218</v>
      </c>
      <c r="B264" s="28">
        <v>12</v>
      </c>
      <c r="C264" s="28" t="s">
        <v>566</v>
      </c>
      <c r="D264" s="28" t="s">
        <v>634</v>
      </c>
      <c r="E264" s="28">
        <f>+IFERROR(VLOOKUP(A264,TB31032020!$A$11:$C$415,2,0),0)</f>
        <v>26000</v>
      </c>
      <c r="F264" s="28">
        <v>0</v>
      </c>
      <c r="G264" s="28">
        <f t="shared" si="42"/>
        <v>26000</v>
      </c>
      <c r="H264" s="28">
        <f>+IFERROR(VLOOKUP(A264,TB31032020!$A$11:$C$415,3,0),0)</f>
        <v>0</v>
      </c>
      <c r="I264" s="28">
        <v>0</v>
      </c>
      <c r="J264" s="28">
        <f t="shared" si="43"/>
        <v>0</v>
      </c>
      <c r="K264" s="28">
        <f>+IFERROR(VLOOKUP(A264,TB310320119!$A$11:$C$422,2,0),0)</f>
        <v>18000</v>
      </c>
      <c r="L264" s="28">
        <v>0</v>
      </c>
      <c r="M264" s="28">
        <f t="shared" si="39"/>
        <v>18000</v>
      </c>
      <c r="N264" s="28">
        <f>+IFERROR(VLOOKUP(A264,TB310320119!$A$11:$C$421,3,0),0)</f>
        <v>0</v>
      </c>
      <c r="O264" s="28">
        <v>0</v>
      </c>
      <c r="P264" s="28">
        <f t="shared" si="41"/>
        <v>0</v>
      </c>
      <c r="Q264" s="20">
        <f t="shared" si="40"/>
        <v>88000</v>
      </c>
    </row>
    <row r="265" spans="1:17" ht="15" customHeight="1">
      <c r="A265" s="33" t="s">
        <v>219</v>
      </c>
      <c r="B265" s="28">
        <v>12</v>
      </c>
      <c r="C265" s="28" t="s">
        <v>566</v>
      </c>
      <c r="D265" s="28" t="s">
        <v>672</v>
      </c>
      <c r="E265" s="28">
        <f>+IFERROR(VLOOKUP(A265,TB31032020!$A$11:$C$415,2,0),0)</f>
        <v>0</v>
      </c>
      <c r="F265" s="28">
        <v>0</v>
      </c>
      <c r="G265" s="28">
        <f t="shared" si="42"/>
        <v>0</v>
      </c>
      <c r="H265" s="28">
        <f>+IFERROR(VLOOKUP(A265,TB31032020!$A$11:$C$415,3,0),0)</f>
        <v>0</v>
      </c>
      <c r="I265" s="28">
        <v>0</v>
      </c>
      <c r="J265" s="28">
        <f t="shared" si="43"/>
        <v>0</v>
      </c>
      <c r="K265" s="28">
        <f>+IFERROR(VLOOKUP(A265,TB310320119!$A$11:$C$422,2,0),0)</f>
        <v>127987</v>
      </c>
      <c r="L265" s="28">
        <v>0</v>
      </c>
      <c r="M265" s="28">
        <f t="shared" si="39"/>
        <v>127987</v>
      </c>
      <c r="N265" s="28">
        <f>+IFERROR(VLOOKUP(A265,TB310320119!$A$11:$C$421,3,0),0)</f>
        <v>0</v>
      </c>
      <c r="O265" s="28">
        <v>0</v>
      </c>
      <c r="P265" s="28">
        <f t="shared" si="41"/>
        <v>0</v>
      </c>
      <c r="Q265" s="20">
        <f t="shared" si="40"/>
        <v>255974</v>
      </c>
    </row>
    <row r="266" spans="1:17" ht="15" customHeight="1">
      <c r="A266" s="33" t="s">
        <v>673</v>
      </c>
      <c r="B266" s="28">
        <v>12</v>
      </c>
      <c r="C266" s="28" t="s">
        <v>566</v>
      </c>
      <c r="D266" s="28" t="s">
        <v>672</v>
      </c>
      <c r="E266" s="28">
        <f>+IFERROR(VLOOKUP(A266,TB31032020!$A$11:$C$415,2,0),0)</f>
        <v>0</v>
      </c>
      <c r="F266" s="28">
        <v>0</v>
      </c>
      <c r="G266" s="28">
        <f t="shared" si="42"/>
        <v>0</v>
      </c>
      <c r="H266" s="28">
        <f>+IFERROR(VLOOKUP(A266,TB31032020!$A$11:$C$415,3,0),0)</f>
        <v>0</v>
      </c>
      <c r="I266" s="28">
        <v>0</v>
      </c>
      <c r="J266" s="28">
        <f t="shared" si="43"/>
        <v>0</v>
      </c>
      <c r="K266" s="28">
        <f>+IFERROR(VLOOKUP(A266,TB310320119!$A$11:$C$422,2,0),0)</f>
        <v>556434</v>
      </c>
      <c r="L266" s="28">
        <v>0</v>
      </c>
      <c r="M266" s="28">
        <f t="shared" si="39"/>
        <v>556434</v>
      </c>
      <c r="N266" s="28">
        <f>+IFERROR(VLOOKUP(A266,TB310320119!$A$11:$C$421,3,0),0)</f>
        <v>0</v>
      </c>
      <c r="O266" s="28">
        <v>0</v>
      </c>
      <c r="P266" s="28">
        <f t="shared" si="41"/>
        <v>0</v>
      </c>
      <c r="Q266" s="20">
        <f t="shared" si="40"/>
        <v>1112868</v>
      </c>
    </row>
    <row r="267" spans="1:17" ht="15" customHeight="1">
      <c r="A267" s="33" t="s">
        <v>220</v>
      </c>
      <c r="B267" s="28">
        <v>12</v>
      </c>
      <c r="C267" s="28" t="s">
        <v>566</v>
      </c>
      <c r="D267" s="28" t="s">
        <v>672</v>
      </c>
      <c r="E267" s="28">
        <f>+IFERROR(VLOOKUP(A267,TB31032020!$A$11:$C$415,2,0),0)</f>
        <v>1021090</v>
      </c>
      <c r="F267" s="28">
        <v>0</v>
      </c>
      <c r="G267" s="28">
        <f t="shared" si="42"/>
        <v>1021090</v>
      </c>
      <c r="H267" s="28">
        <f>+IFERROR(VLOOKUP(A267,TB31032020!$A$11:$C$415,3,0),0)</f>
        <v>0</v>
      </c>
      <c r="I267" s="28">
        <v>0</v>
      </c>
      <c r="J267" s="28">
        <f t="shared" si="43"/>
        <v>0</v>
      </c>
      <c r="K267" s="28">
        <f>+IFERROR(VLOOKUP(A267,TB310320119!$A$11:$C$422,2,0),0)</f>
        <v>1848942</v>
      </c>
      <c r="L267" s="28">
        <v>0</v>
      </c>
      <c r="M267" s="28">
        <f t="shared" si="39"/>
        <v>1848942</v>
      </c>
      <c r="N267" s="28">
        <f>+IFERROR(VLOOKUP(A267,TB310320119!$A$11:$C$421,3,0),0)</f>
        <v>0</v>
      </c>
      <c r="O267" s="28">
        <v>0</v>
      </c>
      <c r="P267" s="28">
        <f t="shared" si="41"/>
        <v>0</v>
      </c>
      <c r="Q267" s="20">
        <f t="shared" si="40"/>
        <v>5740064</v>
      </c>
    </row>
    <row r="268" spans="1:17" ht="15" customHeight="1">
      <c r="A268" s="33" t="s">
        <v>222</v>
      </c>
      <c r="B268" s="28">
        <v>12</v>
      </c>
      <c r="C268" s="28" t="s">
        <v>566</v>
      </c>
      <c r="D268" s="28" t="s">
        <v>672</v>
      </c>
      <c r="E268" s="28">
        <f>+IFERROR(VLOOKUP(A268,TB31032020!$A$11:$C$415,2,0),0)</f>
        <v>6404071</v>
      </c>
      <c r="F268" s="28">
        <v>0</v>
      </c>
      <c r="G268" s="28">
        <f t="shared" si="42"/>
        <v>6404071</v>
      </c>
      <c r="H268" s="28">
        <f>+IFERROR(VLOOKUP(A268,TB31032020!$A$11:$C$415,3,0),0)</f>
        <v>0</v>
      </c>
      <c r="I268" s="28">
        <v>0</v>
      </c>
      <c r="J268" s="28">
        <f t="shared" si="43"/>
        <v>0</v>
      </c>
      <c r="K268" s="28">
        <f>+IFERROR(VLOOKUP(A268,TB310320119!$A$11:$C$422,2,0),0)</f>
        <v>6404071</v>
      </c>
      <c r="L268" s="28">
        <v>0</v>
      </c>
      <c r="M268" s="28">
        <f t="shared" si="39"/>
        <v>6404071</v>
      </c>
      <c r="N268" s="28">
        <f>+IFERROR(VLOOKUP(A268,TB310320119!$A$11:$C$421,3,0),0)</f>
        <v>0</v>
      </c>
      <c r="O268" s="28">
        <v>0</v>
      </c>
      <c r="P268" s="28">
        <f t="shared" si="41"/>
        <v>0</v>
      </c>
      <c r="Q268" s="20">
        <f t="shared" si="40"/>
        <v>25616284</v>
      </c>
    </row>
    <row r="269" spans="1:17" ht="15" customHeight="1">
      <c r="A269" s="33" t="s">
        <v>223</v>
      </c>
      <c r="B269" s="28">
        <v>12</v>
      </c>
      <c r="C269" s="28" t="s">
        <v>566</v>
      </c>
      <c r="D269" s="28" t="s">
        <v>672</v>
      </c>
      <c r="E269" s="28">
        <f>+IFERROR(VLOOKUP(A269,TB31032020!$A$11:$C$415,2,0),0)</f>
        <v>479434</v>
      </c>
      <c r="F269" s="28">
        <v>0</v>
      </c>
      <c r="G269" s="28">
        <f t="shared" si="42"/>
        <v>479434</v>
      </c>
      <c r="H269" s="28">
        <f>+IFERROR(VLOOKUP(A269,TB31032020!$A$11:$C$415,3,0),0)</f>
        <v>0</v>
      </c>
      <c r="I269" s="28">
        <v>0</v>
      </c>
      <c r="J269" s="28">
        <f t="shared" si="43"/>
        <v>0</v>
      </c>
      <c r="K269" s="28">
        <f>+IFERROR(VLOOKUP(A269,TB310320119!$A$11:$C$422,2,0),0)</f>
        <v>479434</v>
      </c>
      <c r="L269" s="28">
        <v>0</v>
      </c>
      <c r="M269" s="28">
        <f t="shared" si="39"/>
        <v>479434</v>
      </c>
      <c r="N269" s="28">
        <f>+IFERROR(VLOOKUP(A269,TB310320119!$A$11:$C$421,3,0),0)</f>
        <v>0</v>
      </c>
      <c r="O269" s="28">
        <v>0</v>
      </c>
      <c r="P269" s="28">
        <f t="shared" si="41"/>
        <v>0</v>
      </c>
      <c r="Q269" s="20">
        <f t="shared" si="40"/>
        <v>1917736</v>
      </c>
    </row>
    <row r="270" spans="1:17" ht="15" customHeight="1">
      <c r="A270" s="29" t="s">
        <v>224</v>
      </c>
      <c r="B270" s="37">
        <v>7</v>
      </c>
      <c r="C270" s="28" t="s">
        <v>561</v>
      </c>
      <c r="D270" s="28" t="s">
        <v>561</v>
      </c>
      <c r="E270" s="28">
        <f>+IFERROR(VLOOKUP(A270,TB31032020!$A$11:$C$415,2,0),0)</f>
        <v>0</v>
      </c>
      <c r="F270" s="28">
        <v>0</v>
      </c>
      <c r="G270" s="28">
        <f t="shared" si="42"/>
        <v>0</v>
      </c>
      <c r="H270" s="28">
        <f>+IFERROR(VLOOKUP(A270,TB31032020!$A$11:$C$415,3,0),0)</f>
        <v>30472</v>
      </c>
      <c r="I270" s="28">
        <v>0</v>
      </c>
      <c r="J270" s="28">
        <f t="shared" si="43"/>
        <v>30472</v>
      </c>
      <c r="K270" s="28">
        <f>+IFERROR(VLOOKUP(A270,TB310320119!$A$11:$C$422,2,0),0)</f>
        <v>0</v>
      </c>
      <c r="L270" s="28">
        <v>0</v>
      </c>
      <c r="M270" s="28">
        <f t="shared" ref="M270:M333" si="44">K270+L270</f>
        <v>0</v>
      </c>
      <c r="N270" s="28">
        <f>+IFERROR(VLOOKUP(A270,TB310320119!$A$11:$C$421,3,0),0)</f>
        <v>0</v>
      </c>
      <c r="O270" s="28">
        <v>0</v>
      </c>
      <c r="P270" s="28">
        <f t="shared" si="41"/>
        <v>0</v>
      </c>
      <c r="Q270" s="20">
        <f t="shared" ref="Q270:Q333" si="45">+SUM(E270:P270)</f>
        <v>60944</v>
      </c>
    </row>
    <row r="271" spans="1:17" ht="15" customHeight="1">
      <c r="A271" s="33" t="s">
        <v>674</v>
      </c>
      <c r="B271" s="28">
        <v>24</v>
      </c>
      <c r="C271" s="28" t="s">
        <v>579</v>
      </c>
      <c r="D271" s="28" t="s">
        <v>675</v>
      </c>
      <c r="E271" s="28">
        <f>+IFERROR(VLOOKUP(A271,TB31032020!$A$11:$C$415,2,0),0)</f>
        <v>239427</v>
      </c>
      <c r="F271" s="28">
        <v>0</v>
      </c>
      <c r="G271" s="28">
        <f t="shared" si="42"/>
        <v>239427</v>
      </c>
      <c r="H271" s="28">
        <f>+IFERROR(VLOOKUP(A271,TB31032020!$A$11:$C$415,3,0),0)</f>
        <v>0</v>
      </c>
      <c r="I271" s="28">
        <v>0</v>
      </c>
      <c r="J271" s="28">
        <f t="shared" si="43"/>
        <v>0</v>
      </c>
      <c r="K271" s="28">
        <f>+IFERROR(VLOOKUP(A271,TB310320119!$A$11:$C$422,2,0),0)</f>
        <v>422254</v>
      </c>
      <c r="L271" s="28">
        <v>0</v>
      </c>
      <c r="M271" s="28">
        <f t="shared" si="44"/>
        <v>422254</v>
      </c>
      <c r="N271" s="28">
        <f>+IFERROR(VLOOKUP(A271,TB310320119!$A$11:$C$421,3,0),0)</f>
        <v>0</v>
      </c>
      <c r="O271" s="28">
        <v>0</v>
      </c>
      <c r="P271" s="28">
        <f t="shared" si="41"/>
        <v>0</v>
      </c>
      <c r="Q271" s="20">
        <f t="shared" si="45"/>
        <v>1323362</v>
      </c>
    </row>
    <row r="272" spans="1:17" ht="15" customHeight="1">
      <c r="A272" s="33" t="s">
        <v>476</v>
      </c>
      <c r="B272" s="28">
        <v>26</v>
      </c>
      <c r="C272" s="28" t="s">
        <v>568</v>
      </c>
      <c r="D272" s="28" t="s">
        <v>578</v>
      </c>
      <c r="E272" s="28">
        <f>+IFERROR(VLOOKUP(A272,TB31032020!$A$11:$C$415,2,0),0)</f>
        <v>0</v>
      </c>
      <c r="F272" s="28">
        <v>0</v>
      </c>
      <c r="G272" s="28">
        <f t="shared" si="42"/>
        <v>0</v>
      </c>
      <c r="H272" s="28">
        <f>+IFERROR(VLOOKUP(A272,TB31032020!$A$11:$C$415,3,0),0)</f>
        <v>0</v>
      </c>
      <c r="I272" s="28">
        <v>0</v>
      </c>
      <c r="J272" s="28">
        <f t="shared" si="43"/>
        <v>0</v>
      </c>
      <c r="K272" s="28">
        <f>+IFERROR(VLOOKUP(A272,TB310320119!$A$11:$C$422,2,0),0)</f>
        <v>156749</v>
      </c>
      <c r="L272" s="28">
        <v>0</v>
      </c>
      <c r="M272" s="28">
        <f t="shared" si="44"/>
        <v>156749</v>
      </c>
      <c r="N272" s="28">
        <f>+IFERROR(VLOOKUP(A272,TB310320119!$A$11:$C$421,3,0),0)</f>
        <v>0</v>
      </c>
      <c r="O272" s="28">
        <v>0</v>
      </c>
      <c r="P272" s="28">
        <f t="shared" si="41"/>
        <v>0</v>
      </c>
      <c r="Q272" s="20">
        <f t="shared" si="45"/>
        <v>313498</v>
      </c>
    </row>
    <row r="273" spans="1:17" ht="15" customHeight="1">
      <c r="A273" s="34" t="s">
        <v>477</v>
      </c>
      <c r="B273" s="28">
        <v>7</v>
      </c>
      <c r="C273" s="28" t="s">
        <v>561</v>
      </c>
      <c r="D273" s="28" t="s">
        <v>562</v>
      </c>
      <c r="E273" s="28">
        <f>+IFERROR(VLOOKUP(A273,TB31032020!$A$11:$C$415,2,0),0)</f>
        <v>0</v>
      </c>
      <c r="F273" s="28">
        <v>0</v>
      </c>
      <c r="G273" s="28">
        <f t="shared" si="42"/>
        <v>0</v>
      </c>
      <c r="H273" s="28">
        <f>+IFERROR(VLOOKUP(A273,TB31032020!$A$11:$C$415,3,0),0)</f>
        <v>0</v>
      </c>
      <c r="I273" s="28">
        <v>0</v>
      </c>
      <c r="J273" s="28">
        <f t="shared" si="43"/>
        <v>0</v>
      </c>
      <c r="K273" s="28">
        <f>+IFERROR(VLOOKUP(A273,TB310320119!$A$11:$C$422,2,0),0)</f>
        <v>0</v>
      </c>
      <c r="L273" s="28">
        <v>0</v>
      </c>
      <c r="M273" s="28">
        <f t="shared" si="44"/>
        <v>0</v>
      </c>
      <c r="N273" s="28">
        <f>+IFERROR(VLOOKUP(A273,TB310320119!$A$11:$C$421,3,0),0)</f>
        <v>21760</v>
      </c>
      <c r="O273" s="28">
        <v>0</v>
      </c>
      <c r="P273" s="28">
        <f t="shared" si="41"/>
        <v>21760</v>
      </c>
      <c r="Q273" s="20">
        <f t="shared" si="45"/>
        <v>43520</v>
      </c>
    </row>
    <row r="274" spans="1:17" ht="15" customHeight="1">
      <c r="A274" s="40" t="s">
        <v>676</v>
      </c>
      <c r="B274" s="28">
        <v>12</v>
      </c>
      <c r="C274" s="28" t="s">
        <v>566</v>
      </c>
      <c r="D274" s="28" t="s">
        <v>634</v>
      </c>
      <c r="E274" s="28">
        <f>+IFERROR(VLOOKUP(A274,TB31032020!$A$11:$C$415,2,0),0)</f>
        <v>15000</v>
      </c>
      <c r="F274" s="28">
        <v>0</v>
      </c>
      <c r="G274" s="28">
        <f t="shared" si="42"/>
        <v>15000</v>
      </c>
      <c r="H274" s="28">
        <f>+IFERROR(VLOOKUP(A274,TB31032020!$A$11:$C$415,3,0),0)</f>
        <v>0</v>
      </c>
      <c r="I274" s="28">
        <v>0</v>
      </c>
      <c r="J274" s="28">
        <f t="shared" si="43"/>
        <v>0</v>
      </c>
      <c r="K274" s="28">
        <f>+IFERROR(VLOOKUP(A274,TB310320119!$A$11:$C$422,2,0),0)</f>
        <v>0</v>
      </c>
      <c r="L274" s="28">
        <v>0</v>
      </c>
      <c r="M274" s="28">
        <f t="shared" si="44"/>
        <v>0</v>
      </c>
      <c r="N274" s="28">
        <f>+IFERROR(VLOOKUP(A274,TB310320119!$A$11:$C$421,3,0),0)</f>
        <v>0</v>
      </c>
      <c r="O274" s="28">
        <v>0</v>
      </c>
      <c r="P274" s="28">
        <f t="shared" si="41"/>
        <v>0</v>
      </c>
      <c r="Q274" s="20">
        <f t="shared" si="45"/>
        <v>30000</v>
      </c>
    </row>
    <row r="275" spans="1:17" ht="15" customHeight="1">
      <c r="A275" s="34" t="s">
        <v>478</v>
      </c>
      <c r="B275" s="28">
        <v>15</v>
      </c>
      <c r="C275" s="28" t="s">
        <v>563</v>
      </c>
      <c r="D275" s="28" t="s">
        <v>564</v>
      </c>
      <c r="E275" s="28">
        <f>+IFERROR(VLOOKUP(A275,TB31032020!$A$11:$C$415,2,0),0)</f>
        <v>0</v>
      </c>
      <c r="F275" s="28">
        <v>0</v>
      </c>
      <c r="G275" s="28">
        <f t="shared" si="42"/>
        <v>0</v>
      </c>
      <c r="H275" s="28">
        <f>+IFERROR(VLOOKUP(A275,TB31032020!$A$11:$C$415,3,0),0)</f>
        <v>0</v>
      </c>
      <c r="I275" s="28">
        <v>0</v>
      </c>
      <c r="J275" s="28">
        <f t="shared" si="43"/>
        <v>0</v>
      </c>
      <c r="K275" s="28">
        <f>+IFERROR(VLOOKUP(A275,TB310320119!$A$11:$C$422,2,0),0)</f>
        <v>706208</v>
      </c>
      <c r="L275" s="28">
        <v>0</v>
      </c>
      <c r="M275" s="28">
        <f t="shared" si="44"/>
        <v>706208</v>
      </c>
      <c r="N275" s="28">
        <f>+IFERROR(VLOOKUP(A275,TB310320119!$A$11:$C$421,3,0),0)</f>
        <v>0</v>
      </c>
      <c r="O275" s="28">
        <v>0</v>
      </c>
      <c r="P275" s="28">
        <f t="shared" si="41"/>
        <v>0</v>
      </c>
      <c r="Q275" s="20">
        <f t="shared" si="45"/>
        <v>1412416</v>
      </c>
    </row>
    <row r="276" spans="1:17" ht="15" customHeight="1">
      <c r="A276" s="34" t="s">
        <v>227</v>
      </c>
      <c r="B276" s="28">
        <v>17</v>
      </c>
      <c r="C276" s="28" t="s">
        <v>572</v>
      </c>
      <c r="D276" s="28" t="s">
        <v>573</v>
      </c>
      <c r="E276" s="28">
        <f>+IFERROR(VLOOKUP(A276,TB31032020!$A$11:$C$415,2,0),0)</f>
        <v>67712.89</v>
      </c>
      <c r="F276" s="28">
        <v>0</v>
      </c>
      <c r="G276" s="28">
        <f t="shared" si="42"/>
        <v>67712.89</v>
      </c>
      <c r="H276" s="28">
        <f>+IFERROR(VLOOKUP(A276,TB31032020!$A$11:$C$415,3,0),0)</f>
        <v>0</v>
      </c>
      <c r="I276" s="28">
        <v>0</v>
      </c>
      <c r="J276" s="28">
        <f t="shared" si="43"/>
        <v>0</v>
      </c>
      <c r="K276" s="28">
        <f>+IFERROR(VLOOKUP(A276,TB310320119!$A$11:$C$422,2,0),0)</f>
        <v>67712.89</v>
      </c>
      <c r="L276" s="28">
        <v>0</v>
      </c>
      <c r="M276" s="28">
        <f t="shared" si="44"/>
        <v>67712.89</v>
      </c>
      <c r="N276" s="28">
        <f>+IFERROR(VLOOKUP(A276,TB310320119!$A$11:$C$421,3,0),0)</f>
        <v>0</v>
      </c>
      <c r="O276" s="28"/>
      <c r="P276" s="28">
        <f t="shared" si="41"/>
        <v>0</v>
      </c>
      <c r="Q276" s="20">
        <f t="shared" si="45"/>
        <v>270851.56</v>
      </c>
    </row>
    <row r="277" spans="1:17" ht="15" customHeight="1">
      <c r="A277" s="34" t="s">
        <v>228</v>
      </c>
      <c r="B277" s="28">
        <v>7</v>
      </c>
      <c r="C277" s="28" t="s">
        <v>561</v>
      </c>
      <c r="D277" s="28" t="s">
        <v>562</v>
      </c>
      <c r="E277" s="28">
        <f>+IFERROR(VLOOKUP(A277,TB31032020!$A$11:$C$415,2,0),0)</f>
        <v>0</v>
      </c>
      <c r="F277" s="28">
        <v>0</v>
      </c>
      <c r="G277" s="28">
        <f t="shared" si="42"/>
        <v>0</v>
      </c>
      <c r="H277" s="28">
        <f>+IFERROR(VLOOKUP(A277,TB31032020!$A$11:$C$415,3,0),0)</f>
        <v>0</v>
      </c>
      <c r="I277" s="28">
        <v>0</v>
      </c>
      <c r="J277" s="28">
        <f t="shared" si="43"/>
        <v>0</v>
      </c>
      <c r="K277" s="28">
        <f>+IFERROR(VLOOKUP(A277,TB310320119!$A$11:$C$422,2,0),0)</f>
        <v>0</v>
      </c>
      <c r="L277" s="28">
        <v>0</v>
      </c>
      <c r="M277" s="28">
        <f t="shared" si="44"/>
        <v>0</v>
      </c>
      <c r="N277" s="28">
        <f>+IFERROR(VLOOKUP(A277,TB310320119!$A$11:$C$421,3,0),0)</f>
        <v>725582</v>
      </c>
      <c r="O277" s="28"/>
      <c r="P277" s="28">
        <f t="shared" si="41"/>
        <v>725582</v>
      </c>
      <c r="Q277" s="20">
        <f t="shared" si="45"/>
        <v>1451164</v>
      </c>
    </row>
    <row r="278" spans="1:17" ht="15" customHeight="1">
      <c r="A278" s="34" t="s">
        <v>479</v>
      </c>
      <c r="B278" s="28">
        <v>7</v>
      </c>
      <c r="C278" s="28" t="s">
        <v>561</v>
      </c>
      <c r="D278" s="28" t="s">
        <v>562</v>
      </c>
      <c r="E278" s="28">
        <f>+IFERROR(VLOOKUP(A278,TB31032020!$A$11:$C$415,2,0),0)</f>
        <v>0</v>
      </c>
      <c r="F278" s="28">
        <v>0</v>
      </c>
      <c r="G278" s="28">
        <f t="shared" si="42"/>
        <v>0</v>
      </c>
      <c r="H278" s="28">
        <f>+IFERROR(VLOOKUP(A278,TB31032020!$A$11:$C$415,3,0),0)</f>
        <v>0</v>
      </c>
      <c r="I278" s="28">
        <v>0</v>
      </c>
      <c r="J278" s="28">
        <f t="shared" si="43"/>
        <v>0</v>
      </c>
      <c r="K278" s="28">
        <f>+IFERROR(VLOOKUP(A278,TB310320119!$A$11:$C$422,2,0),0)</f>
        <v>0</v>
      </c>
      <c r="L278" s="28">
        <v>0</v>
      </c>
      <c r="M278" s="28">
        <f t="shared" si="44"/>
        <v>0</v>
      </c>
      <c r="N278" s="28">
        <f>+IFERROR(VLOOKUP(A278,TB310320119!$A$11:$C$421,3,0),0)</f>
        <v>36014</v>
      </c>
      <c r="O278" s="28">
        <v>0</v>
      </c>
      <c r="P278" s="28">
        <f t="shared" si="41"/>
        <v>36014</v>
      </c>
      <c r="Q278" s="20">
        <f t="shared" si="45"/>
        <v>72028</v>
      </c>
    </row>
    <row r="279" spans="1:17" ht="15" customHeight="1">
      <c r="A279" s="30" t="s">
        <v>229</v>
      </c>
      <c r="B279" s="28">
        <v>7</v>
      </c>
      <c r="C279" s="28" t="s">
        <v>561</v>
      </c>
      <c r="D279" s="28" t="s">
        <v>562</v>
      </c>
      <c r="E279" s="28">
        <f>+IFERROR(VLOOKUP(A279,TB31032020!$A$11:$C$415,2,0),0)</f>
        <v>0</v>
      </c>
      <c r="F279" s="28">
        <v>0</v>
      </c>
      <c r="G279" s="28">
        <f t="shared" si="42"/>
        <v>0</v>
      </c>
      <c r="H279" s="28">
        <f>+IFERROR(VLOOKUP(A279,TB31032020!$A$11:$C$415,3,0),0)</f>
        <v>14593</v>
      </c>
      <c r="I279" s="28">
        <v>0</v>
      </c>
      <c r="J279" s="28">
        <f t="shared" si="43"/>
        <v>14593</v>
      </c>
      <c r="K279" s="28">
        <f>+IFERROR(VLOOKUP(A279,TB310320119!$A$11:$C$422,2,0),0)</f>
        <v>0</v>
      </c>
      <c r="L279" s="28">
        <v>0</v>
      </c>
      <c r="M279" s="28">
        <f t="shared" si="44"/>
        <v>0</v>
      </c>
      <c r="N279" s="28">
        <f>+IFERROR(VLOOKUP(A279,TB310320119!$A$11:$C$421,3,0),0)</f>
        <v>0</v>
      </c>
      <c r="O279" s="28">
        <v>0</v>
      </c>
      <c r="P279" s="28">
        <f t="shared" si="41"/>
        <v>0</v>
      </c>
      <c r="Q279" s="20">
        <f t="shared" si="45"/>
        <v>29186</v>
      </c>
    </row>
    <row r="280" spans="1:17" ht="15" customHeight="1">
      <c r="A280" s="40" t="s">
        <v>230</v>
      </c>
      <c r="B280" s="28">
        <v>12</v>
      </c>
      <c r="C280" s="28" t="s">
        <v>566</v>
      </c>
      <c r="D280" s="28" t="s">
        <v>634</v>
      </c>
      <c r="E280" s="28">
        <f>+IFERROR(VLOOKUP(A280,TB31032020!$A$11:$C$415,2,0),0)</f>
        <v>4000</v>
      </c>
      <c r="F280" s="28">
        <v>0</v>
      </c>
      <c r="G280" s="28">
        <f t="shared" si="42"/>
        <v>4000</v>
      </c>
      <c r="H280" s="28">
        <f>+IFERROR(VLOOKUP(A280,TB31032020!$A$11:$C$415,3,0),0)</f>
        <v>0</v>
      </c>
      <c r="I280" s="28">
        <v>0</v>
      </c>
      <c r="J280" s="28">
        <f t="shared" si="43"/>
        <v>0</v>
      </c>
      <c r="K280" s="28">
        <f>+IFERROR(VLOOKUP(A280,TB310320119!$A$11:$C$422,2,0),0)</f>
        <v>0</v>
      </c>
      <c r="L280" s="28">
        <v>0</v>
      </c>
      <c r="M280" s="28">
        <f t="shared" si="44"/>
        <v>0</v>
      </c>
      <c r="N280" s="28">
        <f>+IFERROR(VLOOKUP(A280,TB310320119!$A$11:$C$421,3,0),0)</f>
        <v>0</v>
      </c>
      <c r="O280" s="28">
        <v>0</v>
      </c>
      <c r="P280" s="28">
        <f t="shared" si="41"/>
        <v>0</v>
      </c>
      <c r="Q280" s="20">
        <f t="shared" si="45"/>
        <v>8000</v>
      </c>
    </row>
    <row r="281" spans="1:17" ht="15" customHeight="1">
      <c r="A281" s="33" t="s">
        <v>480</v>
      </c>
      <c r="B281" s="28">
        <v>7</v>
      </c>
      <c r="C281" s="28" t="s">
        <v>561</v>
      </c>
      <c r="D281" s="28" t="s">
        <v>561</v>
      </c>
      <c r="E281" s="28">
        <f>+IFERROR(VLOOKUP(A281,TB31032020!$A$11:$C$415,2,0),0)</f>
        <v>0</v>
      </c>
      <c r="F281" s="28">
        <v>0</v>
      </c>
      <c r="G281" s="28">
        <f t="shared" si="42"/>
        <v>0</v>
      </c>
      <c r="H281" s="28">
        <f>+IFERROR(VLOOKUP(A281,TB31032020!$A$11:$C$415,3,0),0)</f>
        <v>0</v>
      </c>
      <c r="I281" s="28">
        <v>0</v>
      </c>
      <c r="J281" s="28">
        <f t="shared" si="43"/>
        <v>0</v>
      </c>
      <c r="K281" s="28">
        <f>+IFERROR(VLOOKUP(A281,TB310320119!$A$11:$C$422,2,0),0)</f>
        <v>0</v>
      </c>
      <c r="L281" s="28">
        <v>0</v>
      </c>
      <c r="M281" s="28">
        <f t="shared" si="44"/>
        <v>0</v>
      </c>
      <c r="N281" s="28">
        <f>+IFERROR(VLOOKUP(A281,TB310320119!$A$11:$C$421,3,0),0)</f>
        <v>1737970</v>
      </c>
      <c r="O281" s="28">
        <v>0</v>
      </c>
      <c r="P281" s="28">
        <f t="shared" si="41"/>
        <v>1737970</v>
      </c>
      <c r="Q281" s="20">
        <f t="shared" si="45"/>
        <v>3475940</v>
      </c>
    </row>
    <row r="282" spans="1:17" ht="15" customHeight="1">
      <c r="A282" s="40" t="s">
        <v>231</v>
      </c>
      <c r="B282" s="28">
        <v>12</v>
      </c>
      <c r="C282" s="28" t="s">
        <v>566</v>
      </c>
      <c r="D282" s="28" t="s">
        <v>634</v>
      </c>
      <c r="E282" s="28">
        <f>+IFERROR(VLOOKUP(A282,TB31032020!$A$11:$C$415,2,0),0)</f>
        <v>34000</v>
      </c>
      <c r="F282" s="28">
        <v>0</v>
      </c>
      <c r="G282" s="28">
        <f t="shared" si="42"/>
        <v>34000</v>
      </c>
      <c r="H282" s="28">
        <f>+IFERROR(VLOOKUP(A282,TB31032020!$A$11:$C$415,3,0),0)</f>
        <v>0</v>
      </c>
      <c r="I282" s="28">
        <v>0</v>
      </c>
      <c r="J282" s="28">
        <f t="shared" si="43"/>
        <v>0</v>
      </c>
      <c r="K282" s="28">
        <f>+IFERROR(VLOOKUP(A282,TB310320119!$A$11:$C$422,2,0),0)</f>
        <v>40000</v>
      </c>
      <c r="L282" s="28">
        <v>0</v>
      </c>
      <c r="M282" s="28">
        <f t="shared" si="44"/>
        <v>40000</v>
      </c>
      <c r="N282" s="28">
        <f>+IFERROR(VLOOKUP(A282,TB310320119!$A$11:$C$421,3,0),0)</f>
        <v>0</v>
      </c>
      <c r="O282" s="28">
        <v>0</v>
      </c>
      <c r="P282" s="28">
        <f t="shared" si="41"/>
        <v>0</v>
      </c>
      <c r="Q282" s="20">
        <f t="shared" si="45"/>
        <v>148000</v>
      </c>
    </row>
    <row r="283" spans="1:17" ht="15" customHeight="1">
      <c r="A283" s="32" t="s">
        <v>1297</v>
      </c>
      <c r="B283" s="28">
        <v>15</v>
      </c>
      <c r="C283" s="28" t="s">
        <v>563</v>
      </c>
      <c r="D283" s="28" t="s">
        <v>565</v>
      </c>
      <c r="E283" s="28">
        <f>+IFERROR(VLOOKUP(A283,TB31032020!$A$11:$C$415,2,0),0)</f>
        <v>3355331</v>
      </c>
      <c r="F283" s="28">
        <v>0</v>
      </c>
      <c r="G283" s="28">
        <f t="shared" si="42"/>
        <v>3355331</v>
      </c>
      <c r="H283" s="28">
        <f>+IFERROR(VLOOKUP(A283,TB31032020!$A$11:$C$415,3,0),0)</f>
        <v>0</v>
      </c>
      <c r="I283" s="28">
        <v>0</v>
      </c>
      <c r="J283" s="28">
        <f t="shared" si="43"/>
        <v>0</v>
      </c>
      <c r="K283" s="28">
        <f>+IFERROR(VLOOKUP(A283,TB310320119!$A$11:$C$422,2,0),0)</f>
        <v>0</v>
      </c>
      <c r="L283" s="28">
        <v>0</v>
      </c>
      <c r="M283" s="28">
        <f t="shared" si="44"/>
        <v>0</v>
      </c>
      <c r="N283" s="28">
        <f>+IFERROR(VLOOKUP(A283,TB310320119!$A$11:$C$421,3,0),0)</f>
        <v>0</v>
      </c>
      <c r="O283" s="28">
        <v>0</v>
      </c>
      <c r="P283" s="28">
        <f t="shared" si="41"/>
        <v>0</v>
      </c>
      <c r="Q283" s="20">
        <f t="shared" si="45"/>
        <v>6710662</v>
      </c>
    </row>
    <row r="284" spans="1:17" ht="15" customHeight="1">
      <c r="A284" s="30" t="s">
        <v>232</v>
      </c>
      <c r="B284" s="28">
        <v>7</v>
      </c>
      <c r="C284" s="28" t="s">
        <v>561</v>
      </c>
      <c r="D284" s="28" t="s">
        <v>562</v>
      </c>
      <c r="E284" s="28">
        <f>+IFERROR(VLOOKUP(A284,TB31032020!$A$11:$C$415,2,0),0)</f>
        <v>0</v>
      </c>
      <c r="F284" s="28">
        <v>0</v>
      </c>
      <c r="G284" s="28">
        <f t="shared" si="42"/>
        <v>0</v>
      </c>
      <c r="H284" s="28">
        <f>+IFERROR(VLOOKUP(A284,TB31032020!$A$11:$C$415,3,0),0)</f>
        <v>236422</v>
      </c>
      <c r="I284" s="28">
        <v>0</v>
      </c>
      <c r="J284" s="28">
        <f t="shared" si="43"/>
        <v>236422</v>
      </c>
      <c r="K284" s="28">
        <f>+IFERROR(VLOOKUP(A284,TB310320119!$A$11:$C$422,2,0),0)</f>
        <v>0</v>
      </c>
      <c r="L284" s="28">
        <v>0</v>
      </c>
      <c r="M284" s="28">
        <f t="shared" si="44"/>
        <v>0</v>
      </c>
      <c r="N284" s="28">
        <f>+IFERROR(VLOOKUP(A284,TB310320119!$A$11:$C$421,3,0),0)</f>
        <v>0</v>
      </c>
      <c r="O284" s="28">
        <v>0</v>
      </c>
      <c r="P284" s="28">
        <f t="shared" si="41"/>
        <v>0</v>
      </c>
      <c r="Q284" s="20">
        <f t="shared" si="45"/>
        <v>472844</v>
      </c>
    </row>
    <row r="285" spans="1:17" ht="15" customHeight="1">
      <c r="A285" s="48" t="s">
        <v>233</v>
      </c>
      <c r="B285" s="28">
        <v>7</v>
      </c>
      <c r="C285" s="28" t="s">
        <v>561</v>
      </c>
      <c r="D285" s="28" t="s">
        <v>562</v>
      </c>
      <c r="E285" s="28">
        <f>+IFERROR(VLOOKUP(A285,TB31032020!$A$11:$C$415,2,0),0)</f>
        <v>0</v>
      </c>
      <c r="F285" s="28">
        <v>0</v>
      </c>
      <c r="G285" s="28">
        <f t="shared" si="42"/>
        <v>0</v>
      </c>
      <c r="H285" s="28">
        <f>+IFERROR(VLOOKUP(A285,TB31032020!$A$11:$C$415,3,0),0)</f>
        <v>22370</v>
      </c>
      <c r="I285" s="28">
        <v>0</v>
      </c>
      <c r="J285" s="28">
        <f t="shared" si="43"/>
        <v>22370</v>
      </c>
      <c r="K285" s="28">
        <f>+IFERROR(VLOOKUP(A285,TB310320119!$A$11:$C$422,2,0),0)</f>
        <v>0</v>
      </c>
      <c r="L285" s="28">
        <v>0</v>
      </c>
      <c r="M285" s="28">
        <f t="shared" si="44"/>
        <v>0</v>
      </c>
      <c r="N285" s="28">
        <f>+IFERROR(VLOOKUP(A285,TB310320119!$A$11:$C$421,3,0),0)</f>
        <v>63650</v>
      </c>
      <c r="O285" s="28"/>
      <c r="P285" s="28">
        <f t="shared" si="41"/>
        <v>63650</v>
      </c>
      <c r="Q285" s="20">
        <f t="shared" si="45"/>
        <v>172040</v>
      </c>
    </row>
    <row r="286" spans="1:17" ht="15" customHeight="1">
      <c r="A286" s="28" t="s">
        <v>234</v>
      </c>
      <c r="B286" s="28">
        <v>26</v>
      </c>
      <c r="C286" s="28" t="s">
        <v>568</v>
      </c>
      <c r="D286" s="28" t="s">
        <v>569</v>
      </c>
      <c r="E286" s="28">
        <f>+IFERROR(VLOOKUP(A286,TB31032020!$A$11:$C$415,2,0),0)</f>
        <v>185312</v>
      </c>
      <c r="F286" s="28">
        <v>0</v>
      </c>
      <c r="G286" s="28">
        <f t="shared" si="42"/>
        <v>185312</v>
      </c>
      <c r="H286" s="28">
        <f>+IFERROR(VLOOKUP(A286,TB31032020!$A$11:$C$415,3,0),0)</f>
        <v>0</v>
      </c>
      <c r="I286" s="28">
        <v>0</v>
      </c>
      <c r="J286" s="28">
        <f t="shared" si="43"/>
        <v>0</v>
      </c>
      <c r="K286" s="28">
        <f>+IFERROR(VLOOKUP(A286,TB310320119!$A$11:$C$422,2,0),0)</f>
        <v>52250</v>
      </c>
      <c r="L286" s="28">
        <v>0</v>
      </c>
      <c r="M286" s="28">
        <f t="shared" si="44"/>
        <v>52250</v>
      </c>
      <c r="N286" s="28">
        <f>+IFERROR(VLOOKUP(A286,TB310320119!$A$11:$C$421,3,0),0)</f>
        <v>0</v>
      </c>
      <c r="O286" s="28">
        <v>0</v>
      </c>
      <c r="P286" s="28">
        <f t="shared" si="41"/>
        <v>0</v>
      </c>
      <c r="Q286" s="20">
        <f t="shared" si="45"/>
        <v>475124</v>
      </c>
    </row>
    <row r="287" spans="1:17" ht="15" customHeight="1">
      <c r="A287" s="33" t="s">
        <v>482</v>
      </c>
      <c r="B287" s="28">
        <v>26</v>
      </c>
      <c r="C287" s="28" t="s">
        <v>568</v>
      </c>
      <c r="D287" s="28" t="s">
        <v>569</v>
      </c>
      <c r="E287" s="28">
        <f>+IFERROR(VLOOKUP(A287,TB31032020!$A$11:$C$415,2,0),0)</f>
        <v>0</v>
      </c>
      <c r="F287" s="28">
        <v>0</v>
      </c>
      <c r="G287" s="28">
        <f t="shared" si="42"/>
        <v>0</v>
      </c>
      <c r="H287" s="28">
        <f>+IFERROR(VLOOKUP(A287,TB31032020!$A$11:$C$415,3,0),0)</f>
        <v>0</v>
      </c>
      <c r="I287" s="28">
        <v>0</v>
      </c>
      <c r="J287" s="28">
        <f t="shared" si="43"/>
        <v>0</v>
      </c>
      <c r="K287" s="28">
        <f>+IFERROR(VLOOKUP(A287,TB310320119!$A$11:$C$422,2,0),0)</f>
        <v>6132</v>
      </c>
      <c r="L287" s="28">
        <v>0</v>
      </c>
      <c r="M287" s="28">
        <f t="shared" si="44"/>
        <v>6132</v>
      </c>
      <c r="N287" s="28">
        <f>+IFERROR(VLOOKUP(A287,TB310320119!$A$11:$C$421,3,0),0)</f>
        <v>0</v>
      </c>
      <c r="O287" s="28">
        <v>0</v>
      </c>
      <c r="P287" s="28">
        <f t="shared" si="41"/>
        <v>0</v>
      </c>
      <c r="Q287" s="20">
        <f t="shared" si="45"/>
        <v>12264</v>
      </c>
    </row>
    <row r="288" spans="1:17" ht="15" customHeight="1">
      <c r="A288" s="34" t="s">
        <v>481</v>
      </c>
      <c r="B288" s="28">
        <v>26</v>
      </c>
      <c r="C288" s="28" t="s">
        <v>568</v>
      </c>
      <c r="D288" s="28" t="s">
        <v>569</v>
      </c>
      <c r="E288" s="28">
        <f>+IFERROR(VLOOKUP(A288,TB31032020!$A$11:$C$415,2,0),0)</f>
        <v>0</v>
      </c>
      <c r="F288" s="28">
        <v>0</v>
      </c>
      <c r="G288" s="28">
        <f t="shared" si="42"/>
        <v>0</v>
      </c>
      <c r="H288" s="28">
        <f>+IFERROR(VLOOKUP(A288,TB31032020!$A$11:$C$415,3,0),0)</f>
        <v>0</v>
      </c>
      <c r="I288" s="28">
        <v>0</v>
      </c>
      <c r="J288" s="28">
        <f t="shared" si="43"/>
        <v>0</v>
      </c>
      <c r="K288" s="28">
        <f>+IFERROR(VLOOKUP(A288,TB310320119!$A$11:$C$422,2,0),0)</f>
        <v>1294449</v>
      </c>
      <c r="L288" s="28">
        <v>0</v>
      </c>
      <c r="M288" s="28">
        <f t="shared" si="44"/>
        <v>1294449</v>
      </c>
      <c r="N288" s="28">
        <f>+IFERROR(VLOOKUP(A288,TB310320119!$A$11:$C$421,3,0),0)</f>
        <v>0</v>
      </c>
      <c r="O288" s="28">
        <v>0</v>
      </c>
      <c r="P288" s="28">
        <f t="shared" si="41"/>
        <v>0</v>
      </c>
      <c r="Q288" s="20">
        <f t="shared" si="45"/>
        <v>2588898</v>
      </c>
    </row>
    <row r="289" spans="1:17" ht="15" customHeight="1">
      <c r="A289" s="33" t="s">
        <v>677</v>
      </c>
      <c r="B289" s="28">
        <v>26</v>
      </c>
      <c r="C289" s="28" t="s">
        <v>568</v>
      </c>
      <c r="D289" s="28" t="s">
        <v>595</v>
      </c>
      <c r="E289" s="28">
        <f>+IFERROR(VLOOKUP(A289,TB31032020!$A$11:$C$415,2,0),0)</f>
        <v>53120</v>
      </c>
      <c r="F289" s="28">
        <v>0</v>
      </c>
      <c r="G289" s="28">
        <f t="shared" si="42"/>
        <v>53120</v>
      </c>
      <c r="H289" s="28">
        <f>+IFERROR(VLOOKUP(A289,TB31032020!$A$11:$C$415,3,0),0)</f>
        <v>0</v>
      </c>
      <c r="I289" s="28">
        <v>0</v>
      </c>
      <c r="J289" s="28">
        <f t="shared" si="43"/>
        <v>0</v>
      </c>
      <c r="K289" s="28">
        <f>+IFERROR(VLOOKUP(A289,TB310320119!$A$11:$C$422,2,0),0)</f>
        <v>28800</v>
      </c>
      <c r="L289" s="28">
        <v>0</v>
      </c>
      <c r="M289" s="28">
        <f t="shared" si="44"/>
        <v>28800</v>
      </c>
      <c r="N289" s="28">
        <f>+IFERROR(VLOOKUP(A289,TB310320119!$A$11:$C$421,3,0),0)</f>
        <v>0</v>
      </c>
      <c r="O289" s="28">
        <v>0</v>
      </c>
      <c r="P289" s="28">
        <f t="shared" si="41"/>
        <v>0</v>
      </c>
      <c r="Q289" s="20">
        <f t="shared" si="45"/>
        <v>163840</v>
      </c>
    </row>
    <row r="290" spans="1:17" ht="15" customHeight="1">
      <c r="A290" s="33" t="s">
        <v>678</v>
      </c>
      <c r="B290" s="28">
        <v>26</v>
      </c>
      <c r="C290" s="28" t="s">
        <v>568</v>
      </c>
      <c r="D290" s="28" t="s">
        <v>595</v>
      </c>
      <c r="E290" s="28">
        <f>+IFERROR(VLOOKUP(A290,TB31032020!$A$11:$C$415,2,0),0)</f>
        <v>119340</v>
      </c>
      <c r="F290" s="28">
        <v>0</v>
      </c>
      <c r="G290" s="28">
        <f t="shared" si="42"/>
        <v>119340</v>
      </c>
      <c r="H290" s="28">
        <f>+IFERROR(VLOOKUP(A290,TB31032020!$A$11:$C$415,3,0),0)</f>
        <v>0</v>
      </c>
      <c r="I290" s="28">
        <v>0</v>
      </c>
      <c r="J290" s="28">
        <f t="shared" si="43"/>
        <v>0</v>
      </c>
      <c r="K290" s="28">
        <f>+IFERROR(VLOOKUP(A290,TB310320119!$A$11:$C$422,2,0),0)</f>
        <v>133780</v>
      </c>
      <c r="L290" s="28">
        <v>0</v>
      </c>
      <c r="M290" s="28">
        <f t="shared" si="44"/>
        <v>133780</v>
      </c>
      <c r="N290" s="28">
        <f>+IFERROR(VLOOKUP(A290,TB310320119!$A$11:$C$421,3,0),0)</f>
        <v>0</v>
      </c>
      <c r="O290" s="28">
        <v>0</v>
      </c>
      <c r="P290" s="28">
        <f t="shared" si="41"/>
        <v>0</v>
      </c>
      <c r="Q290" s="20">
        <f t="shared" si="45"/>
        <v>506240</v>
      </c>
    </row>
    <row r="291" spans="1:17" ht="15" customHeight="1">
      <c r="A291" s="33" t="s">
        <v>237</v>
      </c>
      <c r="B291" s="28">
        <v>7</v>
      </c>
      <c r="C291" s="28" t="s">
        <v>561</v>
      </c>
      <c r="D291" s="28" t="s">
        <v>562</v>
      </c>
      <c r="E291" s="28">
        <f>+IFERROR(VLOOKUP(A291,TB31032020!$A$11:$C$415,2,0),0)</f>
        <v>0</v>
      </c>
      <c r="F291" s="28">
        <v>0</v>
      </c>
      <c r="G291" s="28">
        <f t="shared" si="42"/>
        <v>0</v>
      </c>
      <c r="H291" s="28">
        <f>+IFERROR(VLOOKUP(A291,TB31032020!$A$11:$C$415,3,0),0)</f>
        <v>4490</v>
      </c>
      <c r="I291" s="28">
        <v>0</v>
      </c>
      <c r="J291" s="28">
        <f t="shared" si="43"/>
        <v>4490</v>
      </c>
      <c r="K291" s="28">
        <f>+IFERROR(VLOOKUP(A291,TB310320119!$A$11:$C$422,2,0),0)</f>
        <v>0</v>
      </c>
      <c r="L291" s="28">
        <v>0</v>
      </c>
      <c r="M291" s="28">
        <f t="shared" si="44"/>
        <v>0</v>
      </c>
      <c r="N291" s="28">
        <f>+IFERROR(VLOOKUP(A291,TB310320119!$A$11:$C$421,3,0),0)</f>
        <v>10920</v>
      </c>
      <c r="O291" s="28">
        <v>0</v>
      </c>
      <c r="P291" s="28">
        <f t="shared" si="41"/>
        <v>10920</v>
      </c>
      <c r="Q291" s="20">
        <f t="shared" si="45"/>
        <v>30820</v>
      </c>
    </row>
    <row r="292" spans="1:17" ht="15" customHeight="1">
      <c r="A292" s="33" t="s">
        <v>238</v>
      </c>
      <c r="B292" s="28">
        <v>10</v>
      </c>
      <c r="C292" s="28" t="s">
        <v>592</v>
      </c>
      <c r="D292" s="28" t="s">
        <v>593</v>
      </c>
      <c r="E292" s="28">
        <f>+IFERROR(VLOOKUP(A292,TB31032020!$A$11:$C$415,2,0),0)</f>
        <v>918177.38</v>
      </c>
      <c r="F292" s="28">
        <v>0</v>
      </c>
      <c r="G292" s="28">
        <f t="shared" si="42"/>
        <v>918177.38</v>
      </c>
      <c r="H292" s="28">
        <f>+IFERROR(VLOOKUP(A292,TB31032020!$A$11:$C$415,3,0),0)</f>
        <v>0</v>
      </c>
      <c r="I292" s="28">
        <v>0</v>
      </c>
      <c r="J292" s="28">
        <f t="shared" si="43"/>
        <v>0</v>
      </c>
      <c r="K292" s="28">
        <f>+IFERROR(VLOOKUP(A292,TB310320119!$A$11:$C$422,2,0),0)</f>
        <v>850872.03</v>
      </c>
      <c r="L292" s="28">
        <v>0</v>
      </c>
      <c r="M292" s="28">
        <f t="shared" si="44"/>
        <v>850872.03</v>
      </c>
      <c r="N292" s="28">
        <f>+IFERROR(VLOOKUP(A292,TB310320119!$A$11:$C$421,3,0),0)</f>
        <v>0</v>
      </c>
      <c r="O292" s="28">
        <v>0</v>
      </c>
      <c r="P292" s="28">
        <f t="shared" si="41"/>
        <v>0</v>
      </c>
      <c r="Q292" s="20">
        <f t="shared" si="45"/>
        <v>3538098.8200000003</v>
      </c>
    </row>
    <row r="293" spans="1:17" ht="15" customHeight="1">
      <c r="A293" s="33" t="s">
        <v>679</v>
      </c>
      <c r="B293" s="28">
        <v>26</v>
      </c>
      <c r="C293" s="28" t="s">
        <v>568</v>
      </c>
      <c r="D293" s="28" t="s">
        <v>595</v>
      </c>
      <c r="E293" s="28">
        <f>+IFERROR(VLOOKUP(A293,TB31032020!$A$11:$C$415,2,0),0)</f>
        <v>202053</v>
      </c>
      <c r="F293" s="28">
        <v>0</v>
      </c>
      <c r="G293" s="28">
        <f t="shared" si="42"/>
        <v>202053</v>
      </c>
      <c r="H293" s="28">
        <f>+IFERROR(VLOOKUP(A293,TB31032020!$A$11:$C$415,3,0),0)</f>
        <v>0</v>
      </c>
      <c r="I293" s="28">
        <v>0</v>
      </c>
      <c r="J293" s="28">
        <f t="shared" si="43"/>
        <v>0</v>
      </c>
      <c r="K293" s="28">
        <f>+IFERROR(VLOOKUP(A293,TB310320119!$A$11:$C$422,2,0),0)</f>
        <v>201085</v>
      </c>
      <c r="L293" s="28">
        <v>0</v>
      </c>
      <c r="M293" s="28">
        <f t="shared" si="44"/>
        <v>201085</v>
      </c>
      <c r="N293" s="28">
        <f>+IFERROR(VLOOKUP(A293,TB310320119!$A$11:$C$421,3,0),0)</f>
        <v>0</v>
      </c>
      <c r="O293" s="28">
        <v>0</v>
      </c>
      <c r="P293" s="28">
        <f t="shared" si="41"/>
        <v>0</v>
      </c>
      <c r="Q293" s="20">
        <f t="shared" si="45"/>
        <v>806276</v>
      </c>
    </row>
    <row r="294" spans="1:17" ht="15" customHeight="1">
      <c r="A294" s="33" t="s">
        <v>680</v>
      </c>
      <c r="B294" s="28">
        <v>26</v>
      </c>
      <c r="C294" s="28" t="s">
        <v>568</v>
      </c>
      <c r="D294" s="28" t="s">
        <v>650</v>
      </c>
      <c r="E294" s="28">
        <f>+IFERROR(VLOOKUP(A294,TB31032020!$A$11:$C$415,2,0),0)</f>
        <v>312000</v>
      </c>
      <c r="F294" s="28">
        <v>0</v>
      </c>
      <c r="G294" s="28">
        <f t="shared" si="42"/>
        <v>312000</v>
      </c>
      <c r="H294" s="28">
        <f>+IFERROR(VLOOKUP(A294,TB31032020!$A$11:$C$415,3,0),0)</f>
        <v>0</v>
      </c>
      <c r="I294" s="28">
        <v>0</v>
      </c>
      <c r="J294" s="28">
        <f t="shared" si="43"/>
        <v>0</v>
      </c>
      <c r="K294" s="28">
        <f>+IFERROR(VLOOKUP(A294,TB310320119!$A$11:$C$422,2,0),0)</f>
        <v>311400</v>
      </c>
      <c r="L294" s="28">
        <v>0</v>
      </c>
      <c r="M294" s="28">
        <f t="shared" si="44"/>
        <v>311400</v>
      </c>
      <c r="N294" s="28">
        <f>+IFERROR(VLOOKUP(A294,TB310320119!$A$11:$C$421,3,0),0)</f>
        <v>0</v>
      </c>
      <c r="O294" s="28">
        <v>0</v>
      </c>
      <c r="P294" s="28">
        <f t="shared" si="41"/>
        <v>0</v>
      </c>
      <c r="Q294" s="20">
        <f t="shared" si="45"/>
        <v>1246800</v>
      </c>
    </row>
    <row r="295" spans="1:17" ht="15" customHeight="1">
      <c r="A295" s="33" t="s">
        <v>681</v>
      </c>
      <c r="B295" s="28">
        <v>26</v>
      </c>
      <c r="C295" s="28" t="s">
        <v>568</v>
      </c>
      <c r="D295" s="28" t="s">
        <v>595</v>
      </c>
      <c r="E295" s="28">
        <f>+IFERROR(VLOOKUP(A295,TB31032020!$A$11:$C$415,2,0),0)</f>
        <v>104473</v>
      </c>
      <c r="F295" s="28">
        <v>0</v>
      </c>
      <c r="G295" s="28">
        <f t="shared" si="42"/>
        <v>104473</v>
      </c>
      <c r="H295" s="28">
        <f>+IFERROR(VLOOKUP(A295,TB31032020!$A$11:$C$415,3,0),0)</f>
        <v>0</v>
      </c>
      <c r="I295" s="28">
        <v>0</v>
      </c>
      <c r="J295" s="28">
        <f t="shared" si="43"/>
        <v>0</v>
      </c>
      <c r="K295" s="28">
        <f>+IFERROR(VLOOKUP(A295,TB310320119!$A$11:$C$422,2,0),0)</f>
        <v>72462</v>
      </c>
      <c r="L295" s="28">
        <v>0</v>
      </c>
      <c r="M295" s="28">
        <f t="shared" si="44"/>
        <v>72462</v>
      </c>
      <c r="N295" s="28">
        <f>+IFERROR(VLOOKUP(A295,TB310320119!$A$11:$C$421,3,0),0)</f>
        <v>0</v>
      </c>
      <c r="O295" s="28">
        <v>0</v>
      </c>
      <c r="P295" s="28">
        <f t="shared" si="41"/>
        <v>0</v>
      </c>
      <c r="Q295" s="20">
        <f t="shared" si="45"/>
        <v>353870</v>
      </c>
    </row>
    <row r="296" spans="1:17" ht="15" customHeight="1">
      <c r="A296" s="33" t="s">
        <v>242</v>
      </c>
      <c r="B296" s="28">
        <v>17</v>
      </c>
      <c r="C296" s="28" t="s">
        <v>572</v>
      </c>
      <c r="D296" s="28" t="s">
        <v>573</v>
      </c>
      <c r="E296" s="28">
        <f>+IFERROR(VLOOKUP(A296,TB31032020!$A$11:$C$415,2,0),0)</f>
        <v>25000</v>
      </c>
      <c r="F296" s="28">
        <v>0</v>
      </c>
      <c r="G296" s="28">
        <f t="shared" si="42"/>
        <v>25000</v>
      </c>
      <c r="H296" s="28">
        <f>+IFERROR(VLOOKUP(A296,TB31032020!$A$11:$C$415,3,0),0)</f>
        <v>0</v>
      </c>
      <c r="I296" s="28">
        <v>0</v>
      </c>
      <c r="J296" s="28">
        <f t="shared" si="43"/>
        <v>0</v>
      </c>
      <c r="K296" s="28">
        <f>+IFERROR(VLOOKUP(A296,TB310320119!$A$11:$C$422,2,0),0)</f>
        <v>50000</v>
      </c>
      <c r="L296" s="28">
        <v>0</v>
      </c>
      <c r="M296" s="28">
        <f t="shared" si="44"/>
        <v>50000</v>
      </c>
      <c r="N296" s="28">
        <f>+IFERROR(VLOOKUP(A296,TB310320119!$A$11:$C$421,3,0),0)</f>
        <v>0</v>
      </c>
      <c r="O296" s="28">
        <v>0</v>
      </c>
      <c r="P296" s="28">
        <f t="shared" si="41"/>
        <v>0</v>
      </c>
      <c r="Q296" s="20">
        <f t="shared" si="45"/>
        <v>150000</v>
      </c>
    </row>
    <row r="297" spans="1:17" ht="15" customHeight="1">
      <c r="A297" s="26" t="s">
        <v>18</v>
      </c>
      <c r="B297" s="27"/>
      <c r="C297" s="27" t="s">
        <v>560</v>
      </c>
      <c r="D297" s="27" t="s">
        <v>560</v>
      </c>
      <c r="E297" s="28">
        <f>+IFERROR(VLOOKUP(A297,TB31032020!$A$11:$C$415,2,0),0)</f>
        <v>51184927.25</v>
      </c>
      <c r="F297" s="28">
        <v>0</v>
      </c>
      <c r="G297" s="28">
        <f t="shared" si="42"/>
        <v>51184927.25</v>
      </c>
      <c r="H297" s="28">
        <f>+IFERROR(VLOOKUP(A297,TB31032020!$A$11:$C$415,3,0),0)</f>
        <v>0</v>
      </c>
      <c r="I297" s="28">
        <v>0</v>
      </c>
      <c r="J297" s="28">
        <f t="shared" si="43"/>
        <v>0</v>
      </c>
      <c r="K297" s="28">
        <f>+IFERROR(VLOOKUP(A297,TB310320119!$A$11:$C$422,2,0),0)</f>
        <v>42797876</v>
      </c>
      <c r="L297" s="28">
        <v>0</v>
      </c>
      <c r="M297" s="28">
        <f t="shared" si="44"/>
        <v>42797876</v>
      </c>
      <c r="N297" s="28">
        <f>+IFERROR(VLOOKUP(A297,TB310320119!$A$11:$C$421,3,0),0)</f>
        <v>0</v>
      </c>
      <c r="O297" s="28">
        <v>0</v>
      </c>
      <c r="P297" s="28">
        <f t="shared" si="41"/>
        <v>0</v>
      </c>
      <c r="Q297" s="20">
        <f t="shared" si="45"/>
        <v>187965606.5</v>
      </c>
    </row>
    <row r="298" spans="1:17" ht="15" customHeight="1">
      <c r="A298" s="32" t="s">
        <v>243</v>
      </c>
      <c r="B298" s="28">
        <v>15</v>
      </c>
      <c r="C298" s="28" t="s">
        <v>563</v>
      </c>
      <c r="D298" s="28" t="s">
        <v>564</v>
      </c>
      <c r="E298" s="28">
        <f>+IFERROR(VLOOKUP(A298,TB31032020!$A$11:$C$415,2,0),0)</f>
        <v>501681</v>
      </c>
      <c r="F298" s="28">
        <v>0</v>
      </c>
      <c r="G298" s="28">
        <f t="shared" si="42"/>
        <v>501681</v>
      </c>
      <c r="H298" s="28">
        <f>+IFERROR(VLOOKUP(A298,TB31032020!$A$11:$C$415,3,0),0)</f>
        <v>0</v>
      </c>
      <c r="I298" s="28">
        <v>0</v>
      </c>
      <c r="J298" s="28">
        <f t="shared" si="43"/>
        <v>0</v>
      </c>
      <c r="K298" s="28">
        <f>+IFERROR(VLOOKUP(A298,TB310320119!$A$11:$C$422,2,0),0)</f>
        <v>0</v>
      </c>
      <c r="L298" s="28">
        <v>0</v>
      </c>
      <c r="M298" s="28">
        <f t="shared" si="44"/>
        <v>0</v>
      </c>
      <c r="N298" s="28">
        <f>+IFERROR(VLOOKUP(A298,TB310320119!$A$11:$C$421,3,0),0)</f>
        <v>0</v>
      </c>
      <c r="O298" s="28">
        <v>0</v>
      </c>
      <c r="P298" s="28">
        <f t="shared" si="41"/>
        <v>0</v>
      </c>
      <c r="Q298" s="20">
        <f t="shared" si="45"/>
        <v>1003362</v>
      </c>
    </row>
    <row r="299" spans="1:17" ht="15" customHeight="1">
      <c r="A299" s="34" t="s">
        <v>244</v>
      </c>
      <c r="B299" s="28">
        <v>15</v>
      </c>
      <c r="C299" s="28" t="s">
        <v>563</v>
      </c>
      <c r="D299" s="28" t="s">
        <v>564</v>
      </c>
      <c r="E299" s="28">
        <f>+IFERROR(VLOOKUP(A299,TB31032020!$A$11:$C$415,2,0),0)</f>
        <v>361758</v>
      </c>
      <c r="F299" s="28">
        <v>0</v>
      </c>
      <c r="G299" s="28">
        <f t="shared" si="42"/>
        <v>361758</v>
      </c>
      <c r="H299" s="28">
        <f>+IFERROR(VLOOKUP(A299,TB31032020!$A$11:$C$415,3,0),0)</f>
        <v>0</v>
      </c>
      <c r="I299" s="28">
        <v>0</v>
      </c>
      <c r="J299" s="28">
        <f t="shared" si="43"/>
        <v>0</v>
      </c>
      <c r="K299" s="28">
        <f>+IFERROR(VLOOKUP(A299,TB310320119!$A$11:$C$422,2,0),0)</f>
        <v>172244</v>
      </c>
      <c r="L299" s="28">
        <v>0</v>
      </c>
      <c r="M299" s="28">
        <f t="shared" si="44"/>
        <v>172244</v>
      </c>
      <c r="N299" s="28">
        <f>+IFERROR(VLOOKUP(A299,TB310320119!$A$11:$C$421,3,0),0)</f>
        <v>0</v>
      </c>
      <c r="O299" s="28">
        <v>0</v>
      </c>
      <c r="P299" s="28">
        <f t="shared" si="41"/>
        <v>0</v>
      </c>
      <c r="Q299" s="20">
        <f t="shared" si="45"/>
        <v>1068004</v>
      </c>
    </row>
    <row r="300" spans="1:17" ht="15" customHeight="1">
      <c r="A300" s="28" t="s">
        <v>245</v>
      </c>
      <c r="B300" s="28">
        <v>22</v>
      </c>
      <c r="C300" s="28" t="s">
        <v>581</v>
      </c>
      <c r="D300" s="28" t="s">
        <v>582</v>
      </c>
      <c r="E300" s="28">
        <f>+IFERROR(VLOOKUP(A300,TB31032020!$A$11:$C$415,2,0),0)</f>
        <v>33607</v>
      </c>
      <c r="F300" s="28">
        <v>0</v>
      </c>
      <c r="G300" s="28">
        <f t="shared" si="42"/>
        <v>33607</v>
      </c>
      <c r="H300" s="28">
        <f>+IFERROR(VLOOKUP(A300,TB31032020!$A$11:$C$415,3,0),0)</f>
        <v>0</v>
      </c>
      <c r="I300" s="28">
        <v>0</v>
      </c>
      <c r="J300" s="28">
        <f t="shared" si="43"/>
        <v>0</v>
      </c>
      <c r="K300" s="28">
        <f>+IFERROR(VLOOKUP(A300,TB310320119!$A$11:$C$422,2,0),0)</f>
        <v>20190</v>
      </c>
      <c r="L300" s="28">
        <v>0</v>
      </c>
      <c r="M300" s="28">
        <f t="shared" si="44"/>
        <v>20190</v>
      </c>
      <c r="N300" s="28">
        <f>+IFERROR(VLOOKUP(A300,TB310320119!$A$11:$C$421,3,0),0)</f>
        <v>0</v>
      </c>
      <c r="O300" s="28">
        <v>0</v>
      </c>
      <c r="P300" s="28">
        <f t="shared" ref="P300:P365" si="46">N300+O300</f>
        <v>0</v>
      </c>
      <c r="Q300" s="20">
        <f t="shared" si="45"/>
        <v>107594</v>
      </c>
    </row>
    <row r="301" spans="1:17" ht="15" customHeight="1">
      <c r="A301" s="36" t="s">
        <v>246</v>
      </c>
      <c r="B301" s="28">
        <v>22</v>
      </c>
      <c r="C301" s="28" t="s">
        <v>581</v>
      </c>
      <c r="D301" s="28" t="s">
        <v>582</v>
      </c>
      <c r="E301" s="28">
        <f>+IFERROR(VLOOKUP(A301,TB31032020!$A$11:$C$415,2,0),0)</f>
        <v>2080</v>
      </c>
      <c r="F301" s="28">
        <v>0</v>
      </c>
      <c r="G301" s="28">
        <f t="shared" si="42"/>
        <v>2080</v>
      </c>
      <c r="H301" s="28">
        <f>+IFERROR(VLOOKUP(A301,TB31032020!$A$11:$C$415,3,0),0)</f>
        <v>0</v>
      </c>
      <c r="I301" s="28">
        <v>0</v>
      </c>
      <c r="J301" s="28">
        <f t="shared" si="43"/>
        <v>0</v>
      </c>
      <c r="K301" s="28">
        <f>+IFERROR(VLOOKUP(A301,TB310320119!$A$11:$C$422,2,0),0)</f>
        <v>0</v>
      </c>
      <c r="L301" s="28">
        <v>0</v>
      </c>
      <c r="M301" s="28">
        <f t="shared" si="44"/>
        <v>0</v>
      </c>
      <c r="N301" s="28">
        <f>+IFERROR(VLOOKUP(A301,TB310320119!$A$11:$C$421,3,0),0)</f>
        <v>0</v>
      </c>
      <c r="O301" s="28">
        <v>0</v>
      </c>
      <c r="P301" s="28">
        <f t="shared" si="46"/>
        <v>0</v>
      </c>
      <c r="Q301" s="20">
        <f t="shared" si="45"/>
        <v>4160</v>
      </c>
    </row>
    <row r="302" spans="1:17" ht="15" customHeight="1">
      <c r="A302" s="33" t="s">
        <v>247</v>
      </c>
      <c r="B302" s="28">
        <v>26</v>
      </c>
      <c r="C302" s="28" t="s">
        <v>568</v>
      </c>
      <c r="D302" s="28" t="s">
        <v>605</v>
      </c>
      <c r="E302" s="28">
        <f>+IFERROR(VLOOKUP(A302,TB31032020!$A$11:$C$415,2,0),0)</f>
        <v>852133</v>
      </c>
      <c r="F302" s="28">
        <v>0</v>
      </c>
      <c r="G302" s="28">
        <f t="shared" si="42"/>
        <v>852133</v>
      </c>
      <c r="H302" s="28">
        <f>+IFERROR(VLOOKUP(A302,TB31032020!$A$11:$C$415,3,0),0)</f>
        <v>0</v>
      </c>
      <c r="I302" s="28">
        <v>0</v>
      </c>
      <c r="J302" s="28">
        <f t="shared" si="43"/>
        <v>0</v>
      </c>
      <c r="K302" s="28">
        <f>+IFERROR(VLOOKUP(A302,TB310320119!$A$11:$C$422,2,0),0)</f>
        <v>4231828</v>
      </c>
      <c r="L302" s="28">
        <v>0</v>
      </c>
      <c r="M302" s="28">
        <f t="shared" si="44"/>
        <v>4231828</v>
      </c>
      <c r="N302" s="28">
        <f>+IFERROR(VLOOKUP(A302,TB310320119!$A$11:$C$421,3,0),0)</f>
        <v>0</v>
      </c>
      <c r="O302" s="28">
        <v>0</v>
      </c>
      <c r="P302" s="28">
        <f t="shared" si="46"/>
        <v>0</v>
      </c>
      <c r="Q302" s="20">
        <f t="shared" si="45"/>
        <v>10167922</v>
      </c>
    </row>
    <row r="303" spans="1:17" ht="15" customHeight="1">
      <c r="A303" s="33" t="s">
        <v>483</v>
      </c>
      <c r="B303" s="28">
        <v>26</v>
      </c>
      <c r="C303" s="28" t="s">
        <v>568</v>
      </c>
      <c r="D303" s="28" t="s">
        <v>599</v>
      </c>
      <c r="E303" s="28">
        <f>+IFERROR(VLOOKUP(A303,TB31032020!$A$11:$C$415,2,0),0)</f>
        <v>0</v>
      </c>
      <c r="F303" s="28">
        <v>0</v>
      </c>
      <c r="G303" s="28">
        <f t="shared" si="42"/>
        <v>0</v>
      </c>
      <c r="H303" s="28">
        <f>+IFERROR(VLOOKUP(A303,TB31032020!$A$11:$C$415,3,0),0)</f>
        <v>0</v>
      </c>
      <c r="I303" s="28">
        <v>0</v>
      </c>
      <c r="J303" s="28">
        <f t="shared" si="43"/>
        <v>0</v>
      </c>
      <c r="K303" s="28">
        <f>+IFERROR(VLOOKUP(A303,TB310320119!$A$11:$C$422,2,0),0)</f>
        <v>11016.55</v>
      </c>
      <c r="L303" s="28">
        <v>0</v>
      </c>
      <c r="M303" s="28">
        <f t="shared" si="44"/>
        <v>11016.55</v>
      </c>
      <c r="N303" s="28">
        <f>+IFERROR(VLOOKUP(A303,TB310320119!$A$11:$C$421,3,0),0)</f>
        <v>0</v>
      </c>
      <c r="O303" s="28">
        <v>0</v>
      </c>
      <c r="P303" s="28">
        <f t="shared" si="46"/>
        <v>0</v>
      </c>
      <c r="Q303" s="20">
        <f t="shared" si="45"/>
        <v>22033.1</v>
      </c>
    </row>
    <row r="304" spans="1:17" ht="15" customHeight="1">
      <c r="A304" s="36" t="s">
        <v>249</v>
      </c>
      <c r="B304" s="28">
        <v>26</v>
      </c>
      <c r="C304" s="28" t="s">
        <v>568</v>
      </c>
      <c r="D304" s="28" t="s">
        <v>583</v>
      </c>
      <c r="E304" s="28">
        <f>+IFERROR(VLOOKUP(A304,TB31032020!$A$11:$C$415,2,0),0)</f>
        <v>500</v>
      </c>
      <c r="F304" s="28">
        <v>0</v>
      </c>
      <c r="G304" s="28">
        <f t="shared" si="42"/>
        <v>500</v>
      </c>
      <c r="H304" s="28">
        <f>+IFERROR(VLOOKUP(A304,TB31032020!$A$11:$C$415,3,0),0)</f>
        <v>0</v>
      </c>
      <c r="I304" s="28">
        <v>0</v>
      </c>
      <c r="J304" s="28">
        <f t="shared" si="43"/>
        <v>0</v>
      </c>
      <c r="K304" s="28">
        <f>+IFERROR(VLOOKUP(A304,TB310320119!$A$11:$C$422,2,0),0)</f>
        <v>0</v>
      </c>
      <c r="L304" s="28">
        <v>0</v>
      </c>
      <c r="M304" s="28">
        <f t="shared" si="44"/>
        <v>0</v>
      </c>
      <c r="N304" s="28">
        <f>+IFERROR(VLOOKUP(A304,TB310320119!$A$11:$C$421,3,0),0)</f>
        <v>0</v>
      </c>
      <c r="O304" s="28">
        <v>0</v>
      </c>
      <c r="P304" s="28">
        <f t="shared" si="46"/>
        <v>0</v>
      </c>
      <c r="Q304" s="20">
        <f t="shared" si="45"/>
        <v>1000</v>
      </c>
    </row>
    <row r="305" spans="1:17" ht="15" customHeight="1">
      <c r="A305" s="33" t="s">
        <v>248</v>
      </c>
      <c r="B305" s="28">
        <v>26</v>
      </c>
      <c r="C305" s="28" t="s">
        <v>568</v>
      </c>
      <c r="D305" s="28" t="s">
        <v>583</v>
      </c>
      <c r="E305" s="28">
        <f>+IFERROR(VLOOKUP(A305,TB31032020!$A$11:$C$415,2,0),0)</f>
        <v>2650</v>
      </c>
      <c r="F305" s="28">
        <v>0</v>
      </c>
      <c r="G305" s="28">
        <f t="shared" si="42"/>
        <v>2650</v>
      </c>
      <c r="H305" s="28">
        <f>+IFERROR(VLOOKUP(A305,TB31032020!$A$11:$C$415,3,0),0)</f>
        <v>0</v>
      </c>
      <c r="I305" s="28">
        <v>0</v>
      </c>
      <c r="J305" s="28">
        <f t="shared" si="43"/>
        <v>0</v>
      </c>
      <c r="K305" s="28">
        <f>+IFERROR(VLOOKUP(A305,TB310320119!$A$11:$C$422,2,0),0)</f>
        <v>1550</v>
      </c>
      <c r="L305" s="28">
        <v>0</v>
      </c>
      <c r="M305" s="28">
        <f t="shared" si="44"/>
        <v>1550</v>
      </c>
      <c r="N305" s="28">
        <f>+IFERROR(VLOOKUP(A305,TB310320119!$A$11:$C$421,3,0),0)</f>
        <v>0</v>
      </c>
      <c r="O305" s="28">
        <v>0</v>
      </c>
      <c r="P305" s="28">
        <f t="shared" si="46"/>
        <v>0</v>
      </c>
      <c r="Q305" s="20">
        <f t="shared" si="45"/>
        <v>8400</v>
      </c>
    </row>
    <row r="306" spans="1:17" ht="15" customHeight="1">
      <c r="A306" s="34" t="s">
        <v>484</v>
      </c>
      <c r="B306" s="28">
        <v>26</v>
      </c>
      <c r="C306" s="28" t="s">
        <v>568</v>
      </c>
      <c r="D306" s="28" t="s">
        <v>682</v>
      </c>
      <c r="E306" s="28">
        <f>+IFERROR(VLOOKUP(A306,TB31032020!$A$11:$C$415,2,0),0)</f>
        <v>0</v>
      </c>
      <c r="F306" s="28">
        <v>0</v>
      </c>
      <c r="G306" s="28">
        <f t="shared" si="42"/>
        <v>0</v>
      </c>
      <c r="H306" s="28">
        <f>+IFERROR(VLOOKUP(A306,TB31032020!$A$11:$C$415,3,0),0)</f>
        <v>0</v>
      </c>
      <c r="I306" s="28">
        <v>0</v>
      </c>
      <c r="J306" s="28">
        <f t="shared" si="43"/>
        <v>0</v>
      </c>
      <c r="K306" s="28">
        <f>+IFERROR(VLOOKUP(A306,TB310320119!$A$11:$C$422,2,0),0)</f>
        <v>150</v>
      </c>
      <c r="L306" s="28">
        <v>0</v>
      </c>
      <c r="M306" s="28">
        <f t="shared" si="44"/>
        <v>150</v>
      </c>
      <c r="N306" s="28">
        <f>+IFERROR(VLOOKUP(A306,TB310320119!$A$11:$C$421,3,0),0)</f>
        <v>0</v>
      </c>
      <c r="O306" s="28">
        <v>0</v>
      </c>
      <c r="P306" s="28">
        <f t="shared" si="46"/>
        <v>0</v>
      </c>
      <c r="Q306" s="20">
        <f t="shared" si="45"/>
        <v>300</v>
      </c>
    </row>
    <row r="307" spans="1:17" ht="15" customHeight="1">
      <c r="A307" s="34" t="s">
        <v>485</v>
      </c>
      <c r="B307" s="28">
        <v>26</v>
      </c>
      <c r="C307" s="28" t="s">
        <v>568</v>
      </c>
      <c r="D307" s="28" t="s">
        <v>682</v>
      </c>
      <c r="E307" s="28">
        <f>+IFERROR(VLOOKUP(A307,TB31032020!$A$11:$C$415,2,0),0)</f>
        <v>0</v>
      </c>
      <c r="F307" s="28">
        <v>0</v>
      </c>
      <c r="G307" s="28">
        <f t="shared" si="42"/>
        <v>0</v>
      </c>
      <c r="H307" s="28">
        <f>+IFERROR(VLOOKUP(A307,TB31032020!$A$11:$C$415,3,0),0)</f>
        <v>0</v>
      </c>
      <c r="I307" s="28">
        <v>0</v>
      </c>
      <c r="J307" s="28">
        <f t="shared" si="43"/>
        <v>0</v>
      </c>
      <c r="K307" s="28">
        <f>+IFERROR(VLOOKUP(A307,TB310320119!$A$11:$C$422,2,0),0)</f>
        <v>1042</v>
      </c>
      <c r="L307" s="28">
        <v>0</v>
      </c>
      <c r="M307" s="28">
        <f t="shared" si="44"/>
        <v>1042</v>
      </c>
      <c r="N307" s="28">
        <f>+IFERROR(VLOOKUP(A307,TB310320119!$A$11:$C$421,3,0),0)</f>
        <v>0</v>
      </c>
      <c r="O307" s="28">
        <v>0</v>
      </c>
      <c r="P307" s="28">
        <f t="shared" si="46"/>
        <v>0</v>
      </c>
      <c r="Q307" s="20">
        <f t="shared" si="45"/>
        <v>2084</v>
      </c>
    </row>
    <row r="308" spans="1:17" ht="15" customHeight="1">
      <c r="A308" s="29" t="s">
        <v>250</v>
      </c>
      <c r="B308" s="28">
        <v>22</v>
      </c>
      <c r="C308" s="28" t="s">
        <v>581</v>
      </c>
      <c r="D308" s="28" t="s">
        <v>582</v>
      </c>
      <c r="E308" s="28">
        <f>+IFERROR(VLOOKUP(A308,TB31032020!$A$11:$C$415,2,0),0)</f>
        <v>447749</v>
      </c>
      <c r="F308" s="28">
        <v>0</v>
      </c>
      <c r="G308" s="28">
        <f t="shared" si="42"/>
        <v>447749</v>
      </c>
      <c r="H308" s="28">
        <f>+IFERROR(VLOOKUP(A308,TB31032020!$A$11:$C$415,3,0),0)</f>
        <v>0</v>
      </c>
      <c r="I308" s="28">
        <v>0</v>
      </c>
      <c r="J308" s="28">
        <f t="shared" si="43"/>
        <v>0</v>
      </c>
      <c r="K308" s="28">
        <f>+IFERROR(VLOOKUP(A308,TB310320119!$A$11:$C$422,2,0),0)</f>
        <v>118292</v>
      </c>
      <c r="L308" s="28">
        <v>0</v>
      </c>
      <c r="M308" s="28">
        <f t="shared" si="44"/>
        <v>118292</v>
      </c>
      <c r="N308" s="28">
        <f>+IFERROR(VLOOKUP(A308,TB310320119!$A$11:$C$421,3,0),0)</f>
        <v>0</v>
      </c>
      <c r="O308" s="28">
        <v>0</v>
      </c>
      <c r="P308" s="28">
        <f t="shared" si="46"/>
        <v>0</v>
      </c>
      <c r="Q308" s="20">
        <f t="shared" si="45"/>
        <v>1132082</v>
      </c>
    </row>
    <row r="309" spans="1:17" ht="15" customHeight="1">
      <c r="A309" s="36" t="s">
        <v>252</v>
      </c>
      <c r="B309" s="28">
        <v>26</v>
      </c>
      <c r="C309" s="28" t="s">
        <v>568</v>
      </c>
      <c r="D309" s="28" t="s">
        <v>578</v>
      </c>
      <c r="E309" s="28">
        <f>+IFERROR(VLOOKUP(A309,TB31032020!$A$11:$C$415,2,0),0)</f>
        <v>20000</v>
      </c>
      <c r="F309" s="28">
        <v>0</v>
      </c>
      <c r="G309" s="28">
        <f t="shared" si="42"/>
        <v>20000</v>
      </c>
      <c r="H309" s="28">
        <f>+IFERROR(VLOOKUP(A309,TB31032020!$A$11:$C$415,3,0),0)</f>
        <v>0</v>
      </c>
      <c r="I309" s="28">
        <v>0</v>
      </c>
      <c r="J309" s="28">
        <f t="shared" si="43"/>
        <v>0</v>
      </c>
      <c r="K309" s="28">
        <f>+IFERROR(VLOOKUP(A309,TB310320119!$A$11:$C$422,2,0),0)</f>
        <v>0</v>
      </c>
      <c r="L309" s="28">
        <v>0</v>
      </c>
      <c r="M309" s="28">
        <f t="shared" si="44"/>
        <v>0</v>
      </c>
      <c r="N309" s="28">
        <f>+IFERROR(VLOOKUP(A309,TB310320119!$A$11:$C$421,3,0),0)</f>
        <v>0</v>
      </c>
      <c r="O309" s="28">
        <v>0</v>
      </c>
      <c r="P309" s="28">
        <f t="shared" si="46"/>
        <v>0</v>
      </c>
      <c r="Q309" s="20">
        <f t="shared" si="45"/>
        <v>40000</v>
      </c>
    </row>
    <row r="310" spans="1:17" ht="15" customHeight="1">
      <c r="A310" s="34" t="s">
        <v>486</v>
      </c>
      <c r="B310" s="28">
        <v>26</v>
      </c>
      <c r="C310" s="28" t="s">
        <v>568</v>
      </c>
      <c r="D310" s="28" t="s">
        <v>609</v>
      </c>
      <c r="E310" s="28">
        <f>+IFERROR(VLOOKUP(A310,TB31032020!$A$11:$C$415,2,0),0)</f>
        <v>0</v>
      </c>
      <c r="F310" s="28">
        <v>0</v>
      </c>
      <c r="G310" s="28">
        <f t="shared" si="42"/>
        <v>0</v>
      </c>
      <c r="H310" s="28">
        <f>+IFERROR(VLOOKUP(A310,TB31032020!$A$11:$C$415,3,0),0)</f>
        <v>0</v>
      </c>
      <c r="I310" s="28">
        <v>0</v>
      </c>
      <c r="J310" s="28">
        <f t="shared" si="43"/>
        <v>0</v>
      </c>
      <c r="K310" s="28">
        <f>+IFERROR(VLOOKUP(A310,TB310320119!$A$11:$C$422,2,0),0)</f>
        <v>60000</v>
      </c>
      <c r="L310" s="28">
        <v>0</v>
      </c>
      <c r="M310" s="28">
        <f t="shared" si="44"/>
        <v>60000</v>
      </c>
      <c r="N310" s="28">
        <f>+IFERROR(VLOOKUP(A310,TB310320119!$A$11:$C$421,3,0),0)</f>
        <v>0</v>
      </c>
      <c r="O310" s="28">
        <v>0</v>
      </c>
      <c r="P310" s="28">
        <f t="shared" si="46"/>
        <v>0</v>
      </c>
      <c r="Q310" s="20">
        <f t="shared" si="45"/>
        <v>120000</v>
      </c>
    </row>
    <row r="311" spans="1:17" ht="15" customHeight="1">
      <c r="A311" s="33" t="s">
        <v>251</v>
      </c>
      <c r="B311" s="28">
        <v>26</v>
      </c>
      <c r="C311" s="28" t="s">
        <v>568</v>
      </c>
      <c r="D311" s="28" t="s">
        <v>609</v>
      </c>
      <c r="E311" s="28">
        <f>+IFERROR(VLOOKUP(A311,TB31032020!$A$11:$C$415,2,0),0)</f>
        <v>210000</v>
      </c>
      <c r="F311" s="28">
        <v>0</v>
      </c>
      <c r="G311" s="28">
        <f t="shared" si="42"/>
        <v>210000</v>
      </c>
      <c r="H311" s="28">
        <f>+IFERROR(VLOOKUP(A311,TB31032020!$A$11:$C$415,3,0),0)</f>
        <v>0</v>
      </c>
      <c r="I311" s="28">
        <v>0</v>
      </c>
      <c r="J311" s="28">
        <f t="shared" si="43"/>
        <v>0</v>
      </c>
      <c r="K311" s="28">
        <f>+IFERROR(VLOOKUP(A311,TB310320119!$A$11:$C$422,2,0),0)</f>
        <v>210000</v>
      </c>
      <c r="L311" s="28">
        <v>0</v>
      </c>
      <c r="M311" s="28">
        <f t="shared" si="44"/>
        <v>210000</v>
      </c>
      <c r="N311" s="28">
        <f>+IFERROR(VLOOKUP(A311,TB310320119!$A$11:$C$421,3,0),0)</f>
        <v>0</v>
      </c>
      <c r="O311" s="28">
        <v>0</v>
      </c>
      <c r="P311" s="28">
        <f t="shared" si="46"/>
        <v>0</v>
      </c>
      <c r="Q311" s="20">
        <f t="shared" si="45"/>
        <v>840000</v>
      </c>
    </row>
    <row r="312" spans="1:17" ht="15" customHeight="1">
      <c r="A312" s="33" t="s">
        <v>253</v>
      </c>
      <c r="B312" s="28">
        <v>19</v>
      </c>
      <c r="C312" s="28" t="s">
        <v>617</v>
      </c>
      <c r="D312" s="28" t="s">
        <v>618</v>
      </c>
      <c r="E312" s="28">
        <f>+IFERROR(VLOOKUP(A312,TB31032020!$A$11:$C$415,2,0),0)</f>
        <v>0</v>
      </c>
      <c r="F312" s="28">
        <v>0</v>
      </c>
      <c r="G312" s="28">
        <f t="shared" si="42"/>
        <v>0</v>
      </c>
      <c r="H312" s="28">
        <f>+IFERROR(VLOOKUP(A312,TB31032020!$A$11:$C$415,3,0),0)</f>
        <v>497880</v>
      </c>
      <c r="I312" s="28">
        <v>0</v>
      </c>
      <c r="J312" s="28">
        <f t="shared" si="43"/>
        <v>497880</v>
      </c>
      <c r="K312" s="28">
        <f>+IFERROR(VLOOKUP(A312,TB310320119!$A$11:$C$422,2,0),0)</f>
        <v>0</v>
      </c>
      <c r="L312" s="28">
        <v>0</v>
      </c>
      <c r="M312" s="28">
        <f t="shared" si="44"/>
        <v>0</v>
      </c>
      <c r="N312" s="28">
        <f>+IFERROR(VLOOKUP(A312,TB310320119!$A$11:$C$421,3,0),0)</f>
        <v>535495</v>
      </c>
      <c r="O312" s="28">
        <v>0</v>
      </c>
      <c r="P312" s="28">
        <f t="shared" si="46"/>
        <v>535495</v>
      </c>
      <c r="Q312" s="20">
        <f t="shared" si="45"/>
        <v>2066750</v>
      </c>
    </row>
    <row r="313" spans="1:17" ht="15" customHeight="1">
      <c r="A313" s="33" t="s">
        <v>254</v>
      </c>
      <c r="B313" s="28">
        <v>26</v>
      </c>
      <c r="C313" s="28" t="s">
        <v>568</v>
      </c>
      <c r="D313" s="28" t="s">
        <v>583</v>
      </c>
      <c r="E313" s="28">
        <f>+IFERROR(VLOOKUP(A313,TB31032020!$A$11:$C$415,2,0),0)</f>
        <v>7311227.8099999996</v>
      </c>
      <c r="F313" s="28">
        <v>0</v>
      </c>
      <c r="G313" s="28">
        <f t="shared" si="42"/>
        <v>7311227.8099999996</v>
      </c>
      <c r="H313" s="28">
        <f>+IFERROR(VLOOKUP(A313,TB31032020!$A$11:$C$415,3,0),0)</f>
        <v>0</v>
      </c>
      <c r="I313" s="28">
        <v>0</v>
      </c>
      <c r="J313" s="28">
        <f t="shared" si="43"/>
        <v>0</v>
      </c>
      <c r="K313" s="28">
        <f>+IFERROR(VLOOKUP(A313,TB310320119!$A$11:$C$422,2,0),0)</f>
        <v>6832723.8099999996</v>
      </c>
      <c r="L313" s="28">
        <v>0</v>
      </c>
      <c r="M313" s="28">
        <f t="shared" si="44"/>
        <v>6832723.8099999996</v>
      </c>
      <c r="N313" s="28">
        <f>+IFERROR(VLOOKUP(A313,TB310320119!$A$11:$C$421,3,0),0)</f>
        <v>0</v>
      </c>
      <c r="O313" s="28">
        <v>0</v>
      </c>
      <c r="P313" s="28">
        <f t="shared" si="46"/>
        <v>0</v>
      </c>
      <c r="Q313" s="20">
        <f t="shared" si="45"/>
        <v>28287903.239999998</v>
      </c>
    </row>
    <row r="314" spans="1:17" ht="15" customHeight="1">
      <c r="A314" s="34" t="s">
        <v>255</v>
      </c>
      <c r="B314" s="28">
        <v>15</v>
      </c>
      <c r="C314" s="28" t="s">
        <v>563</v>
      </c>
      <c r="D314" s="28" t="s">
        <v>564</v>
      </c>
      <c r="E314" s="28">
        <f>+IFERROR(VLOOKUP(A314,TB31032020!$A$11:$C$415,2,0),0)</f>
        <v>361125</v>
      </c>
      <c r="F314" s="28">
        <v>0</v>
      </c>
      <c r="G314" s="28">
        <f t="shared" si="42"/>
        <v>361125</v>
      </c>
      <c r="H314" s="28">
        <f>+IFERROR(VLOOKUP(A314,TB31032020!$A$11:$C$415,3,0),0)</f>
        <v>0</v>
      </c>
      <c r="I314" s="28">
        <v>0</v>
      </c>
      <c r="J314" s="28">
        <f t="shared" si="43"/>
        <v>0</v>
      </c>
      <c r="K314" s="28">
        <f>+IFERROR(VLOOKUP(A314,TB310320119!$A$11:$C$422,2,0),0)</f>
        <v>0</v>
      </c>
      <c r="L314" s="28">
        <v>0</v>
      </c>
      <c r="M314" s="28">
        <f t="shared" si="44"/>
        <v>0</v>
      </c>
      <c r="N314" s="28">
        <f>+IFERROR(VLOOKUP(A314,TB310320119!$A$11:$C$421,3,0),0)</f>
        <v>0</v>
      </c>
      <c r="O314" s="28">
        <v>0</v>
      </c>
      <c r="P314" s="28">
        <f t="shared" si="46"/>
        <v>0</v>
      </c>
      <c r="Q314" s="20">
        <f t="shared" si="45"/>
        <v>722250</v>
      </c>
    </row>
    <row r="315" spans="1:17" ht="15" customHeight="1">
      <c r="A315" s="40" t="s">
        <v>256</v>
      </c>
      <c r="B315" s="28">
        <v>7</v>
      </c>
      <c r="C315" s="28" t="s">
        <v>561</v>
      </c>
      <c r="D315" s="28" t="s">
        <v>561</v>
      </c>
      <c r="E315" s="28">
        <f>+IFERROR(VLOOKUP(A315,TB31032020!$A$11:$C$415,2,0),0)</f>
        <v>0</v>
      </c>
      <c r="F315" s="28">
        <v>0</v>
      </c>
      <c r="G315" s="28">
        <f t="shared" si="42"/>
        <v>0</v>
      </c>
      <c r="H315" s="28">
        <f>+IFERROR(VLOOKUP(A315,TB31032020!$A$11:$C$415,3,0),0)</f>
        <v>3172</v>
      </c>
      <c r="I315" s="28">
        <v>0</v>
      </c>
      <c r="J315" s="28">
        <f t="shared" si="43"/>
        <v>3172</v>
      </c>
      <c r="K315" s="28">
        <f>+IFERROR(VLOOKUP(A315,TB310320119!$A$11:$C$422,2,0),0)</f>
        <v>0</v>
      </c>
      <c r="L315" s="28">
        <v>0</v>
      </c>
      <c r="M315" s="28">
        <f t="shared" si="44"/>
        <v>0</v>
      </c>
      <c r="N315" s="28">
        <f>+IFERROR(VLOOKUP(A315,TB310320119!$A$11:$C$421,3,0),0)</f>
        <v>34438</v>
      </c>
      <c r="O315" s="28">
        <v>0</v>
      </c>
      <c r="P315" s="28">
        <f t="shared" si="46"/>
        <v>34438</v>
      </c>
      <c r="Q315" s="20">
        <f t="shared" si="45"/>
        <v>75220</v>
      </c>
    </row>
    <row r="316" spans="1:17" ht="15" customHeight="1">
      <c r="A316" s="33" t="s">
        <v>257</v>
      </c>
      <c r="B316" s="28">
        <v>7</v>
      </c>
      <c r="C316" s="28" t="s">
        <v>561</v>
      </c>
      <c r="D316" s="28" t="s">
        <v>562</v>
      </c>
      <c r="E316" s="28">
        <f>+IFERROR(VLOOKUP(A316,TB31032020!$A$11:$C$415,2,0),0)</f>
        <v>0</v>
      </c>
      <c r="F316" s="28">
        <v>0</v>
      </c>
      <c r="G316" s="28">
        <f t="shared" si="42"/>
        <v>0</v>
      </c>
      <c r="H316" s="28">
        <f>+IFERROR(VLOOKUP(A316,TB31032020!$A$11:$C$415,3,0),0)</f>
        <v>274949</v>
      </c>
      <c r="I316" s="28">
        <v>0</v>
      </c>
      <c r="J316" s="28">
        <f t="shared" si="43"/>
        <v>274949</v>
      </c>
      <c r="K316" s="28">
        <f>+IFERROR(VLOOKUP(A316,TB310320119!$A$11:$C$422,2,0),0)</f>
        <v>0</v>
      </c>
      <c r="L316" s="28">
        <v>0</v>
      </c>
      <c r="M316" s="28">
        <f t="shared" si="44"/>
        <v>0</v>
      </c>
      <c r="N316" s="28">
        <f>+IFERROR(VLOOKUP(A316,TB310320119!$A$11:$C$421,3,0),0)</f>
        <v>244340</v>
      </c>
      <c r="O316" s="28">
        <v>0</v>
      </c>
      <c r="P316" s="28">
        <f t="shared" si="46"/>
        <v>244340</v>
      </c>
      <c r="Q316" s="20">
        <f t="shared" si="45"/>
        <v>1038578</v>
      </c>
    </row>
    <row r="317" spans="1:17" ht="15" customHeight="1">
      <c r="A317" s="33" t="s">
        <v>683</v>
      </c>
      <c r="B317" s="28">
        <v>7</v>
      </c>
      <c r="C317" s="28" t="s">
        <v>561</v>
      </c>
      <c r="D317" s="28" t="s">
        <v>562</v>
      </c>
      <c r="E317" s="28">
        <f>+IFERROR(VLOOKUP(A317,TB31032020!$A$11:$C$415,2,0),0)</f>
        <v>0</v>
      </c>
      <c r="F317" s="28">
        <v>0</v>
      </c>
      <c r="G317" s="28">
        <f t="shared" si="42"/>
        <v>0</v>
      </c>
      <c r="H317" s="28">
        <f>+IFERROR(VLOOKUP(A317,TB31032020!$A$11:$C$415,3,0),0)</f>
        <v>423402</v>
      </c>
      <c r="I317" s="28">
        <v>0</v>
      </c>
      <c r="J317" s="28">
        <f t="shared" si="43"/>
        <v>423402</v>
      </c>
      <c r="K317" s="28">
        <f>+IFERROR(VLOOKUP(A317,TB310320119!$A$11:$C$422,2,0),0)</f>
        <v>0</v>
      </c>
      <c r="L317" s="28">
        <v>0</v>
      </c>
      <c r="M317" s="28">
        <f t="shared" si="44"/>
        <v>0</v>
      </c>
      <c r="N317" s="28">
        <f>+IFERROR(VLOOKUP(A317,TB310320119!$A$11:$C$421,3,0),0)</f>
        <v>407871</v>
      </c>
      <c r="O317" s="28">
        <v>0</v>
      </c>
      <c r="P317" s="28">
        <f t="shared" si="46"/>
        <v>407871</v>
      </c>
      <c r="Q317" s="20">
        <f t="shared" si="45"/>
        <v>1662546</v>
      </c>
    </row>
    <row r="318" spans="1:17" ht="15" customHeight="1">
      <c r="A318" s="33" t="s">
        <v>259</v>
      </c>
      <c r="B318" s="28">
        <v>7</v>
      </c>
      <c r="C318" s="28" t="s">
        <v>561</v>
      </c>
      <c r="D318" s="28" t="s">
        <v>562</v>
      </c>
      <c r="E318" s="28">
        <f>+IFERROR(VLOOKUP(A318,TB31032020!$A$11:$C$415,2,0),0)</f>
        <v>0</v>
      </c>
      <c r="F318" s="28">
        <v>0</v>
      </c>
      <c r="G318" s="28">
        <f t="shared" si="42"/>
        <v>0</v>
      </c>
      <c r="H318" s="28">
        <f>+IFERROR(VLOOKUP(A318,TB31032020!$A$11:$C$415,3,0),0)</f>
        <v>523713</v>
      </c>
      <c r="I318" s="28">
        <v>0</v>
      </c>
      <c r="J318" s="28">
        <f t="shared" si="43"/>
        <v>523713</v>
      </c>
      <c r="K318" s="28">
        <f>+IFERROR(VLOOKUP(A318,TB310320119!$A$11:$C$422,2,0),0)</f>
        <v>0</v>
      </c>
      <c r="L318" s="28">
        <v>0</v>
      </c>
      <c r="M318" s="28">
        <f t="shared" si="44"/>
        <v>0</v>
      </c>
      <c r="N318" s="28">
        <f>+IFERROR(VLOOKUP(A318,TB310320119!$A$11:$C$421,3,0),0)</f>
        <v>544798</v>
      </c>
      <c r="O318" s="28">
        <v>0</v>
      </c>
      <c r="P318" s="28">
        <f t="shared" si="46"/>
        <v>544798</v>
      </c>
      <c r="Q318" s="20">
        <f t="shared" si="45"/>
        <v>2137022</v>
      </c>
    </row>
    <row r="319" spans="1:17" ht="15" customHeight="1">
      <c r="A319" s="33" t="s">
        <v>487</v>
      </c>
      <c r="B319" s="28">
        <v>26</v>
      </c>
      <c r="C319" s="28" t="s">
        <v>568</v>
      </c>
      <c r="D319" s="28" t="s">
        <v>569</v>
      </c>
      <c r="E319" s="28">
        <f>+IFERROR(VLOOKUP(A319,TB31032020!$A$11:$C$415,2,0),0)</f>
        <v>0</v>
      </c>
      <c r="F319" s="28">
        <v>0</v>
      </c>
      <c r="G319" s="28">
        <f t="shared" si="42"/>
        <v>0</v>
      </c>
      <c r="H319" s="28">
        <f>+IFERROR(VLOOKUP(A319,TB31032020!$A$11:$C$415,3,0),0)</f>
        <v>0</v>
      </c>
      <c r="I319" s="28">
        <v>0</v>
      </c>
      <c r="J319" s="28">
        <f t="shared" si="43"/>
        <v>0</v>
      </c>
      <c r="K319" s="28">
        <f>+IFERROR(VLOOKUP(A319,TB310320119!$A$11:$C$422,2,0),0)</f>
        <v>75</v>
      </c>
      <c r="L319" s="28">
        <v>0</v>
      </c>
      <c r="M319" s="28">
        <f t="shared" si="44"/>
        <v>75</v>
      </c>
      <c r="N319" s="28">
        <f>+IFERROR(VLOOKUP(A319,TB310320119!$A$11:$C$421,3,0),0)</f>
        <v>0</v>
      </c>
      <c r="O319" s="28">
        <v>0</v>
      </c>
      <c r="P319" s="28">
        <f t="shared" si="46"/>
        <v>0</v>
      </c>
      <c r="Q319" s="20">
        <f t="shared" si="45"/>
        <v>150</v>
      </c>
    </row>
    <row r="320" spans="1:17" ht="15" customHeight="1">
      <c r="A320" s="34" t="s">
        <v>488</v>
      </c>
      <c r="B320" s="28">
        <v>26</v>
      </c>
      <c r="C320" s="28" t="s">
        <v>568</v>
      </c>
      <c r="D320" s="28" t="s">
        <v>569</v>
      </c>
      <c r="E320" s="28">
        <f>+IFERROR(VLOOKUP(A320,TB31032020!$A$11:$C$415,2,0),0)</f>
        <v>0</v>
      </c>
      <c r="F320" s="28">
        <v>0</v>
      </c>
      <c r="G320" s="28">
        <f t="shared" si="42"/>
        <v>0</v>
      </c>
      <c r="H320" s="28">
        <f>+IFERROR(VLOOKUP(A320,TB31032020!$A$11:$C$415,3,0),0)</f>
        <v>0</v>
      </c>
      <c r="I320" s="28">
        <v>0</v>
      </c>
      <c r="J320" s="28">
        <f t="shared" si="43"/>
        <v>0</v>
      </c>
      <c r="K320" s="28">
        <f>+IFERROR(VLOOKUP(A320,TB310320119!$A$11:$C$422,2,0),0)</f>
        <v>3000</v>
      </c>
      <c r="L320" s="28">
        <v>0</v>
      </c>
      <c r="M320" s="28">
        <f t="shared" si="44"/>
        <v>3000</v>
      </c>
      <c r="N320" s="28">
        <f>+IFERROR(VLOOKUP(A320,TB310320119!$A$11:$C$421,3,0),0)</f>
        <v>0</v>
      </c>
      <c r="O320" s="28">
        <v>0</v>
      </c>
      <c r="P320" s="28">
        <f t="shared" si="46"/>
        <v>0</v>
      </c>
      <c r="Q320" s="20">
        <f t="shared" si="45"/>
        <v>6000</v>
      </c>
    </row>
    <row r="321" spans="1:17" ht="15" customHeight="1">
      <c r="A321" s="34" t="s">
        <v>489</v>
      </c>
      <c r="B321" s="28">
        <v>26</v>
      </c>
      <c r="C321" s="28" t="s">
        <v>568</v>
      </c>
      <c r="D321" s="28" t="s">
        <v>569</v>
      </c>
      <c r="E321" s="28">
        <f>+IFERROR(VLOOKUP(A321,TB31032020!$A$11:$C$415,2,0),0)</f>
        <v>0</v>
      </c>
      <c r="F321" s="28">
        <v>0</v>
      </c>
      <c r="G321" s="28">
        <f t="shared" si="42"/>
        <v>0</v>
      </c>
      <c r="H321" s="28">
        <f>+IFERROR(VLOOKUP(A321,TB31032020!$A$11:$C$415,3,0),0)</f>
        <v>0</v>
      </c>
      <c r="I321" s="28">
        <v>0</v>
      </c>
      <c r="J321" s="28">
        <f t="shared" si="43"/>
        <v>0</v>
      </c>
      <c r="K321" s="28">
        <f>+IFERROR(VLOOKUP(A321,TB310320119!$A$11:$C$422,2,0),0)</f>
        <v>19678</v>
      </c>
      <c r="L321" s="28">
        <v>0</v>
      </c>
      <c r="M321" s="28">
        <f t="shared" si="44"/>
        <v>19678</v>
      </c>
      <c r="N321" s="28">
        <f>+IFERROR(VLOOKUP(A321,TB310320119!$A$11:$C$421,3,0),0)</f>
        <v>0</v>
      </c>
      <c r="O321" s="28">
        <v>0</v>
      </c>
      <c r="P321" s="28">
        <f t="shared" si="46"/>
        <v>0</v>
      </c>
      <c r="Q321" s="20">
        <f t="shared" si="45"/>
        <v>39356</v>
      </c>
    </row>
    <row r="322" spans="1:17" ht="15" customHeight="1">
      <c r="A322" s="33" t="s">
        <v>490</v>
      </c>
      <c r="B322" s="28">
        <v>26</v>
      </c>
      <c r="C322" s="28" t="s">
        <v>568</v>
      </c>
      <c r="D322" s="28" t="s">
        <v>569</v>
      </c>
      <c r="E322" s="28">
        <f>+IFERROR(VLOOKUP(A322,TB31032020!$A$11:$C$415,2,0),0)</f>
        <v>0</v>
      </c>
      <c r="F322" s="28">
        <v>0</v>
      </c>
      <c r="G322" s="28">
        <f t="shared" si="42"/>
        <v>0</v>
      </c>
      <c r="H322" s="28">
        <f>+IFERROR(VLOOKUP(A322,TB31032020!$A$11:$C$415,3,0),0)</f>
        <v>0</v>
      </c>
      <c r="I322" s="28">
        <v>0</v>
      </c>
      <c r="J322" s="28">
        <f t="shared" si="43"/>
        <v>0</v>
      </c>
      <c r="K322" s="28">
        <f>+IFERROR(VLOOKUP(A322,TB310320119!$A$11:$C$422,2,0),0)</f>
        <v>75</v>
      </c>
      <c r="L322" s="28">
        <v>0</v>
      </c>
      <c r="M322" s="28">
        <f t="shared" si="44"/>
        <v>75</v>
      </c>
      <c r="N322" s="28">
        <f>+IFERROR(VLOOKUP(A322,TB310320119!$A$11:$C$421,3,0),0)</f>
        <v>0</v>
      </c>
      <c r="O322" s="28">
        <v>0</v>
      </c>
      <c r="P322" s="28">
        <f t="shared" si="46"/>
        <v>0</v>
      </c>
      <c r="Q322" s="20">
        <f t="shared" si="45"/>
        <v>150</v>
      </c>
    </row>
    <row r="323" spans="1:17" ht="15" customHeight="1">
      <c r="A323" s="33" t="s">
        <v>260</v>
      </c>
      <c r="B323" s="28">
        <v>26</v>
      </c>
      <c r="C323" s="28" t="s">
        <v>568</v>
      </c>
      <c r="D323" s="28" t="s">
        <v>569</v>
      </c>
      <c r="E323" s="28">
        <f>+IFERROR(VLOOKUP(A323,TB31032020!$A$11:$C$415,2,0),0)</f>
        <v>281000</v>
      </c>
      <c r="F323" s="28">
        <v>0</v>
      </c>
      <c r="G323" s="28">
        <f t="shared" si="42"/>
        <v>281000</v>
      </c>
      <c r="H323" s="28">
        <f>+IFERROR(VLOOKUP(A323,TB31032020!$A$11:$C$415,3,0),0)</f>
        <v>0</v>
      </c>
      <c r="I323" s="28">
        <v>0</v>
      </c>
      <c r="J323" s="28">
        <f t="shared" si="43"/>
        <v>0</v>
      </c>
      <c r="K323" s="28">
        <f>+IFERROR(VLOOKUP(A323,TB310320119!$A$11:$C$422,2,0),0)</f>
        <v>33000</v>
      </c>
      <c r="L323" s="28">
        <v>0</v>
      </c>
      <c r="M323" s="28">
        <f t="shared" si="44"/>
        <v>33000</v>
      </c>
      <c r="N323" s="28">
        <f>+IFERROR(VLOOKUP(A323,TB310320119!$A$11:$C$421,3,0),0)</f>
        <v>0</v>
      </c>
      <c r="O323" s="28">
        <v>0</v>
      </c>
      <c r="P323" s="28">
        <f t="shared" si="46"/>
        <v>0</v>
      </c>
      <c r="Q323" s="20">
        <f t="shared" si="45"/>
        <v>628000</v>
      </c>
    </row>
    <row r="324" spans="1:17" ht="15" customHeight="1">
      <c r="A324" s="33" t="s">
        <v>261</v>
      </c>
      <c r="B324" s="28">
        <v>10</v>
      </c>
      <c r="C324" s="28" t="s">
        <v>592</v>
      </c>
      <c r="D324" s="28" t="s">
        <v>593</v>
      </c>
      <c r="E324" s="28">
        <f>+IFERROR(VLOOKUP(A324,TB31032020!$A$11:$C$415,2,0),0)</f>
        <v>217294094.62</v>
      </c>
      <c r="F324" s="28">
        <v>0</v>
      </c>
      <c r="G324" s="28">
        <f t="shared" si="42"/>
        <v>217294094.62</v>
      </c>
      <c r="H324" s="28">
        <f>+IFERROR(VLOOKUP(A324,TB31032020!$A$11:$C$415,3,0),0)</f>
        <v>0</v>
      </c>
      <c r="I324" s="28">
        <v>0</v>
      </c>
      <c r="J324" s="28">
        <f t="shared" si="43"/>
        <v>0</v>
      </c>
      <c r="K324" s="28">
        <f>+IFERROR(VLOOKUP(A324,TB310320119!$A$11:$C$422,2,0),0)</f>
        <v>213053551.43000001</v>
      </c>
      <c r="L324" s="28">
        <v>0</v>
      </c>
      <c r="M324" s="28">
        <f t="shared" si="44"/>
        <v>213053551.43000001</v>
      </c>
      <c r="N324" s="28">
        <f>+IFERROR(VLOOKUP(A324,TB310320119!$A$11:$C$421,3,0),0)</f>
        <v>0</v>
      </c>
      <c r="O324" s="28">
        <v>0</v>
      </c>
      <c r="P324" s="28">
        <f t="shared" si="46"/>
        <v>0</v>
      </c>
      <c r="Q324" s="20">
        <f t="shared" si="45"/>
        <v>860695292.10000014</v>
      </c>
    </row>
    <row r="325" spans="1:17" ht="15" customHeight="1">
      <c r="A325" s="30" t="s">
        <v>262</v>
      </c>
      <c r="B325" s="28">
        <v>7</v>
      </c>
      <c r="C325" s="28" t="s">
        <v>561</v>
      </c>
      <c r="D325" s="28" t="s">
        <v>562</v>
      </c>
      <c r="E325" s="28">
        <f>+IFERROR(VLOOKUP(A325,TB31032020!$A$11:$C$415,2,0),0)</f>
        <v>0</v>
      </c>
      <c r="F325" s="28">
        <v>0</v>
      </c>
      <c r="G325" s="28">
        <f t="shared" si="42"/>
        <v>0</v>
      </c>
      <c r="H325" s="28">
        <f>+IFERROR(VLOOKUP(A325,TB31032020!$A$11:$C$415,3,0),0)</f>
        <v>81000</v>
      </c>
      <c r="I325" s="28">
        <v>0</v>
      </c>
      <c r="J325" s="28">
        <f t="shared" si="43"/>
        <v>81000</v>
      </c>
      <c r="K325" s="28">
        <f>+IFERROR(VLOOKUP(A325,TB310320119!$A$11:$C$422,2,0),0)</f>
        <v>0</v>
      </c>
      <c r="L325" s="28">
        <v>0</v>
      </c>
      <c r="M325" s="28">
        <f t="shared" si="44"/>
        <v>0</v>
      </c>
      <c r="N325" s="28">
        <f>+IFERROR(VLOOKUP(A325,TB310320119!$A$11:$C$421,3,0),0)</f>
        <v>0</v>
      </c>
      <c r="O325" s="28">
        <v>0</v>
      </c>
      <c r="P325" s="28">
        <f t="shared" si="46"/>
        <v>0</v>
      </c>
      <c r="Q325" s="20">
        <f t="shared" si="45"/>
        <v>162000</v>
      </c>
    </row>
    <row r="326" spans="1:17" ht="15" customHeight="1">
      <c r="A326" s="33" t="s">
        <v>684</v>
      </c>
      <c r="B326" s="28">
        <v>26</v>
      </c>
      <c r="C326" s="28" t="s">
        <v>568</v>
      </c>
      <c r="D326" s="28" t="s">
        <v>578</v>
      </c>
      <c r="E326" s="28">
        <f>+IFERROR(VLOOKUP(A326,TB31032020!$A$11:$C$415,2,0),0)</f>
        <v>161998</v>
      </c>
      <c r="F326" s="28">
        <v>0</v>
      </c>
      <c r="G326" s="28">
        <f t="shared" si="42"/>
        <v>161998</v>
      </c>
      <c r="H326" s="28">
        <f>+IFERROR(VLOOKUP(A326,TB31032020!$A$11:$C$415,3,0),0)</f>
        <v>0</v>
      </c>
      <c r="I326" s="28">
        <v>0</v>
      </c>
      <c r="J326" s="28">
        <f t="shared" si="43"/>
        <v>0</v>
      </c>
      <c r="K326" s="28">
        <f>+IFERROR(VLOOKUP(A326,TB310320119!$A$11:$C$422,2,0),0)</f>
        <v>90444</v>
      </c>
      <c r="L326" s="28">
        <v>0</v>
      </c>
      <c r="M326" s="28">
        <f t="shared" si="44"/>
        <v>90444</v>
      </c>
      <c r="N326" s="28">
        <f>+IFERROR(VLOOKUP(A326,TB310320119!$A$11:$C$421,3,0),0)</f>
        <v>0</v>
      </c>
      <c r="O326" s="28">
        <v>0</v>
      </c>
      <c r="P326" s="28">
        <f t="shared" si="46"/>
        <v>0</v>
      </c>
      <c r="Q326" s="20">
        <f t="shared" si="45"/>
        <v>504884</v>
      </c>
    </row>
    <row r="327" spans="1:17" ht="15" customHeight="1">
      <c r="A327" s="33" t="s">
        <v>264</v>
      </c>
      <c r="B327" s="28">
        <v>7</v>
      </c>
      <c r="C327" s="28" t="s">
        <v>561</v>
      </c>
      <c r="D327" s="28" t="s">
        <v>562</v>
      </c>
      <c r="E327" s="28">
        <f>+IFERROR(VLOOKUP(A327,TB31032020!$A$11:$C$415,2,0),0)</f>
        <v>0</v>
      </c>
      <c r="F327" s="28">
        <v>0</v>
      </c>
      <c r="G327" s="28">
        <f t="shared" ref="G327:G390" si="47">+E327+F327</f>
        <v>0</v>
      </c>
      <c r="H327" s="28">
        <f>+IFERROR(VLOOKUP(A327,TB31032020!$A$11:$C$415,3,0),0)</f>
        <v>4956590</v>
      </c>
      <c r="I327" s="28">
        <v>0</v>
      </c>
      <c r="J327" s="28">
        <f t="shared" ref="J327:J390" si="48">+H327+I327</f>
        <v>4956590</v>
      </c>
      <c r="K327" s="28">
        <f>+IFERROR(VLOOKUP(A327,TB310320119!$A$11:$C$422,2,0),0)</f>
        <v>0</v>
      </c>
      <c r="L327" s="28">
        <v>0</v>
      </c>
      <c r="M327" s="28">
        <f t="shared" si="44"/>
        <v>0</v>
      </c>
      <c r="N327" s="28">
        <f>+IFERROR(VLOOKUP(A327,TB310320119!$A$11:$C$421,3,0),0)</f>
        <v>6010670</v>
      </c>
      <c r="O327" s="28">
        <v>0</v>
      </c>
      <c r="P327" s="28">
        <f t="shared" si="46"/>
        <v>6010670</v>
      </c>
      <c r="Q327" s="20">
        <f t="shared" si="45"/>
        <v>21934520</v>
      </c>
    </row>
    <row r="328" spans="1:17" ht="15" customHeight="1">
      <c r="A328" s="33" t="s">
        <v>491</v>
      </c>
      <c r="B328" s="28">
        <v>26</v>
      </c>
      <c r="C328" s="28" t="s">
        <v>568</v>
      </c>
      <c r="D328" s="28" t="s">
        <v>605</v>
      </c>
      <c r="E328" s="28">
        <f>+IFERROR(VLOOKUP(A328,TB31032020!$A$11:$C$415,2,0),0)</f>
        <v>0</v>
      </c>
      <c r="F328" s="28">
        <v>0</v>
      </c>
      <c r="G328" s="28">
        <f t="shared" si="47"/>
        <v>0</v>
      </c>
      <c r="H328" s="28">
        <f>+IFERROR(VLOOKUP(A328,TB31032020!$A$11:$C$415,3,0),0)</f>
        <v>0</v>
      </c>
      <c r="I328" s="28">
        <v>0</v>
      </c>
      <c r="J328" s="28">
        <f t="shared" si="48"/>
        <v>0</v>
      </c>
      <c r="K328" s="28">
        <f>+IFERROR(VLOOKUP(A328,TB310320119!$A$11:$C$422,2,0),0)</f>
        <v>0</v>
      </c>
      <c r="L328" s="28"/>
      <c r="M328" s="28">
        <f t="shared" si="44"/>
        <v>0</v>
      </c>
      <c r="N328" s="28">
        <f>+IFERROR(VLOOKUP(A328,TB310320119!$A$11:$C$421,3,0),0)</f>
        <v>205269</v>
      </c>
      <c r="O328" s="28">
        <v>0</v>
      </c>
      <c r="P328" s="28">
        <f t="shared" si="46"/>
        <v>205269</v>
      </c>
      <c r="Q328" s="20">
        <f t="shared" si="45"/>
        <v>410538</v>
      </c>
    </row>
    <row r="329" spans="1:17" ht="15" customHeight="1">
      <c r="A329" s="32" t="s">
        <v>268</v>
      </c>
      <c r="B329" s="28">
        <v>15</v>
      </c>
      <c r="C329" s="28" t="s">
        <v>563</v>
      </c>
      <c r="D329" s="28" t="s">
        <v>564</v>
      </c>
      <c r="E329" s="28">
        <f>+IFERROR(VLOOKUP(A329,TB31032020!$A$11:$C$415,2,0),0)</f>
        <v>213763</v>
      </c>
      <c r="F329" s="28">
        <v>0</v>
      </c>
      <c r="G329" s="28">
        <f t="shared" si="47"/>
        <v>213763</v>
      </c>
      <c r="H329" s="28">
        <f>+IFERROR(VLOOKUP(A329,TB31032020!$A$11:$C$415,3,0),0)</f>
        <v>0</v>
      </c>
      <c r="I329" s="28">
        <v>0</v>
      </c>
      <c r="J329" s="28">
        <f t="shared" si="48"/>
        <v>0</v>
      </c>
      <c r="K329" s="28">
        <f>+IFERROR(VLOOKUP(A329,TB310320119!$A$11:$C$422,2,0),0)</f>
        <v>0</v>
      </c>
      <c r="L329" s="28">
        <v>0</v>
      </c>
      <c r="M329" s="28">
        <f t="shared" si="44"/>
        <v>0</v>
      </c>
      <c r="N329" s="28">
        <f>+IFERROR(VLOOKUP(A329,TB310320119!$A$11:$C$421,3,0),0)</f>
        <v>0</v>
      </c>
      <c r="O329" s="28">
        <v>0</v>
      </c>
      <c r="P329" s="28">
        <f t="shared" si="46"/>
        <v>0</v>
      </c>
      <c r="Q329" s="20">
        <f t="shared" si="45"/>
        <v>427526</v>
      </c>
    </row>
    <row r="330" spans="1:17" ht="15" customHeight="1">
      <c r="A330" s="33" t="s">
        <v>492</v>
      </c>
      <c r="B330" s="28">
        <v>7</v>
      </c>
      <c r="C330" s="28" t="s">
        <v>561</v>
      </c>
      <c r="D330" s="28" t="s">
        <v>561</v>
      </c>
      <c r="E330" s="28">
        <f>+IFERROR(VLOOKUP(A330,TB31032020!$A$11:$C$415,2,0),0)</f>
        <v>0</v>
      </c>
      <c r="F330" s="28">
        <v>0</v>
      </c>
      <c r="G330" s="28">
        <f t="shared" si="47"/>
        <v>0</v>
      </c>
      <c r="H330" s="28">
        <f>+IFERROR(VLOOKUP(A330,TB31032020!$A$11:$C$415,3,0),0)</f>
        <v>0</v>
      </c>
      <c r="I330" s="28">
        <v>0</v>
      </c>
      <c r="J330" s="28">
        <f t="shared" si="48"/>
        <v>0</v>
      </c>
      <c r="K330" s="28">
        <f>+IFERROR(VLOOKUP(A330,TB310320119!$A$11:$C$422,2,0),0)</f>
        <v>0</v>
      </c>
      <c r="L330" s="28">
        <v>0</v>
      </c>
      <c r="M330" s="28">
        <f t="shared" si="44"/>
        <v>0</v>
      </c>
      <c r="N330" s="28">
        <f>+IFERROR(VLOOKUP(A330,TB310320119!$A$11:$C$421,3,0),0)</f>
        <v>51416</v>
      </c>
      <c r="O330" s="28">
        <v>0</v>
      </c>
      <c r="P330" s="28">
        <f t="shared" si="46"/>
        <v>51416</v>
      </c>
      <c r="Q330" s="20">
        <f t="shared" si="45"/>
        <v>102832</v>
      </c>
    </row>
    <row r="331" spans="1:17" ht="15" customHeight="1">
      <c r="A331" s="33" t="s">
        <v>493</v>
      </c>
      <c r="B331" s="28">
        <v>12</v>
      </c>
      <c r="C331" s="28" t="s">
        <v>566</v>
      </c>
      <c r="D331" s="28" t="s">
        <v>634</v>
      </c>
      <c r="E331" s="28">
        <f>+IFERROR(VLOOKUP(A331,TB31032020!$A$11:$C$415,2,0),0)</f>
        <v>0</v>
      </c>
      <c r="F331" s="28">
        <v>0</v>
      </c>
      <c r="G331" s="28">
        <f t="shared" si="47"/>
        <v>0</v>
      </c>
      <c r="H331" s="28">
        <f>+IFERROR(VLOOKUP(A331,TB31032020!$A$11:$C$415,3,0),0)</f>
        <v>0</v>
      </c>
      <c r="I331" s="28">
        <v>0</v>
      </c>
      <c r="J331" s="28">
        <f t="shared" si="48"/>
        <v>0</v>
      </c>
      <c r="K331" s="28">
        <f>+IFERROR(VLOOKUP(A331,TB310320119!$A$11:$C$422,2,0),0)</f>
        <v>23000</v>
      </c>
      <c r="L331" s="28">
        <v>0</v>
      </c>
      <c r="M331" s="28">
        <f t="shared" si="44"/>
        <v>23000</v>
      </c>
      <c r="N331" s="28">
        <f>+IFERROR(VLOOKUP(A331,TB310320119!$A$11:$C$421,3,0),0)</f>
        <v>0</v>
      </c>
      <c r="O331" s="28">
        <v>0</v>
      </c>
      <c r="P331" s="28">
        <f t="shared" si="46"/>
        <v>0</v>
      </c>
      <c r="Q331" s="20">
        <f t="shared" si="45"/>
        <v>46000</v>
      </c>
    </row>
    <row r="332" spans="1:17" ht="15" customHeight="1">
      <c r="A332" s="32" t="s">
        <v>265</v>
      </c>
      <c r="B332" s="28">
        <v>15</v>
      </c>
      <c r="C332" s="28" t="s">
        <v>563</v>
      </c>
      <c r="D332" s="28" t="s">
        <v>564</v>
      </c>
      <c r="E332" s="28">
        <f>+IFERROR(VLOOKUP(A332,TB31032020!$A$11:$C$415,2,0),0)</f>
        <v>3013137</v>
      </c>
      <c r="F332" s="28">
        <v>0</v>
      </c>
      <c r="G332" s="28">
        <f t="shared" si="47"/>
        <v>3013137</v>
      </c>
      <c r="H332" s="28">
        <f>+IFERROR(VLOOKUP(A332,TB31032020!$A$11:$C$415,3,0),0)</f>
        <v>0</v>
      </c>
      <c r="I332" s="28">
        <v>0</v>
      </c>
      <c r="J332" s="28">
        <f t="shared" si="48"/>
        <v>0</v>
      </c>
      <c r="K332" s="28">
        <f>+IFERROR(VLOOKUP(A332,TB310320119!$A$11:$C$422,2,0),0)</f>
        <v>0</v>
      </c>
      <c r="L332" s="28">
        <v>0</v>
      </c>
      <c r="M332" s="28">
        <f t="shared" si="44"/>
        <v>0</v>
      </c>
      <c r="N332" s="28">
        <f>+IFERROR(VLOOKUP(A332,TB310320119!$A$11:$C$421,3,0),0)</f>
        <v>0</v>
      </c>
      <c r="O332" s="28">
        <v>0</v>
      </c>
      <c r="P332" s="28">
        <f t="shared" si="46"/>
        <v>0</v>
      </c>
      <c r="Q332" s="20">
        <f t="shared" si="45"/>
        <v>6026274</v>
      </c>
    </row>
    <row r="333" spans="1:17" ht="15" customHeight="1">
      <c r="A333" s="33" t="s">
        <v>494</v>
      </c>
      <c r="B333" s="28">
        <v>8</v>
      </c>
      <c r="C333" s="28" t="s">
        <v>585</v>
      </c>
      <c r="D333" s="28" t="s">
        <v>586</v>
      </c>
      <c r="E333" s="28">
        <f>+IFERROR(VLOOKUP(A333,TB31032020!$A$11:$C$415,2,0),0)</f>
        <v>0</v>
      </c>
      <c r="F333" s="28">
        <v>0</v>
      </c>
      <c r="G333" s="28">
        <f t="shared" si="47"/>
        <v>0</v>
      </c>
      <c r="H333" s="28">
        <f>+IFERROR(VLOOKUP(A333,TB31032020!$A$11:$C$415,3,0),0)</f>
        <v>0</v>
      </c>
      <c r="I333" s="28">
        <v>0</v>
      </c>
      <c r="J333" s="28">
        <f t="shared" si="48"/>
        <v>0</v>
      </c>
      <c r="K333" s="28">
        <f>+IFERROR(VLOOKUP(A333,TB310320119!$A$11:$C$422,2,0),0)</f>
        <v>0</v>
      </c>
      <c r="L333" s="28">
        <v>0</v>
      </c>
      <c r="M333" s="28">
        <f t="shared" si="44"/>
        <v>0</v>
      </c>
      <c r="N333" s="28">
        <f>+IFERROR(VLOOKUP(A333,TB310320119!$A$11:$C$421,3,0),0)</f>
        <v>409053</v>
      </c>
      <c r="O333" s="28">
        <v>0</v>
      </c>
      <c r="P333" s="28">
        <f t="shared" si="46"/>
        <v>409053</v>
      </c>
      <c r="Q333" s="20">
        <f t="shared" si="45"/>
        <v>818106</v>
      </c>
    </row>
    <row r="334" spans="1:17" ht="15" customHeight="1">
      <c r="A334" s="33" t="s">
        <v>266</v>
      </c>
      <c r="B334" s="28">
        <v>7</v>
      </c>
      <c r="C334" s="28" t="s">
        <v>561</v>
      </c>
      <c r="D334" s="28" t="s">
        <v>561</v>
      </c>
      <c r="E334" s="28">
        <f>+IFERROR(VLOOKUP(A334,TB31032020!$A$11:$C$415,2,0),0)</f>
        <v>0</v>
      </c>
      <c r="F334" s="28">
        <v>0</v>
      </c>
      <c r="G334" s="28">
        <f t="shared" si="47"/>
        <v>0</v>
      </c>
      <c r="H334" s="28">
        <f>+IFERROR(VLOOKUP(A334,TB31032020!$A$11:$C$415,3,0),0)</f>
        <v>36128</v>
      </c>
      <c r="I334" s="28">
        <v>0</v>
      </c>
      <c r="J334" s="28">
        <f t="shared" si="48"/>
        <v>36128</v>
      </c>
      <c r="K334" s="28">
        <f>+IFERROR(VLOOKUP(A334,TB310320119!$A$11:$C$422,2,0),0)</f>
        <v>0</v>
      </c>
      <c r="L334" s="28">
        <v>0</v>
      </c>
      <c r="M334" s="28">
        <f t="shared" ref="M334:M402" si="49">K334+L334</f>
        <v>0</v>
      </c>
      <c r="N334" s="28">
        <f>+IFERROR(VLOOKUP(A334,TB310320119!$A$11:$C$421,3,0),0)</f>
        <v>72740</v>
      </c>
      <c r="O334" s="28">
        <v>0</v>
      </c>
      <c r="P334" s="28">
        <f t="shared" si="46"/>
        <v>72740</v>
      </c>
      <c r="Q334" s="20">
        <f t="shared" ref="Q334:Q402" si="50">+SUM(E334:P334)</f>
        <v>217736</v>
      </c>
    </row>
    <row r="335" spans="1:17" ht="15" customHeight="1">
      <c r="A335" s="33" t="s">
        <v>267</v>
      </c>
      <c r="B335" s="28">
        <v>18</v>
      </c>
      <c r="C335" s="28" t="s">
        <v>655</v>
      </c>
      <c r="D335" s="28" t="s">
        <v>657</v>
      </c>
      <c r="E335" s="28">
        <f>+IFERROR(VLOOKUP(A335,TB31032020!$A$11:$C$415,2,0),0)</f>
        <v>299526</v>
      </c>
      <c r="F335" s="28">
        <v>0</v>
      </c>
      <c r="G335" s="28">
        <f t="shared" si="47"/>
        <v>299526</v>
      </c>
      <c r="H335" s="28">
        <f>+IFERROR(VLOOKUP(A335,TB31032020!$A$11:$C$415,3,0),0)</f>
        <v>0</v>
      </c>
      <c r="I335" s="28">
        <v>0</v>
      </c>
      <c r="J335" s="28">
        <f t="shared" si="48"/>
        <v>0</v>
      </c>
      <c r="K335" s="28">
        <f>+IFERROR(VLOOKUP(A335,TB310320119!$A$11:$C$422,2,0),0)</f>
        <v>493128</v>
      </c>
      <c r="L335" s="28">
        <v>0</v>
      </c>
      <c r="M335" s="28">
        <f t="shared" si="49"/>
        <v>493128</v>
      </c>
      <c r="N335" s="28">
        <f>+IFERROR(VLOOKUP(A335,TB310320119!$A$11:$C$421,3,0),0)</f>
        <v>0</v>
      </c>
      <c r="O335" s="28">
        <v>0</v>
      </c>
      <c r="P335" s="28">
        <f t="shared" si="46"/>
        <v>0</v>
      </c>
      <c r="Q335" s="20">
        <f t="shared" si="50"/>
        <v>1585308</v>
      </c>
    </row>
    <row r="336" spans="1:17" ht="15" customHeight="1">
      <c r="A336" s="459" t="s">
        <v>662</v>
      </c>
      <c r="B336" s="28">
        <v>13</v>
      </c>
      <c r="C336" s="28" t="s">
        <v>623</v>
      </c>
      <c r="D336" s="28" t="s">
        <v>624</v>
      </c>
      <c r="E336" s="28">
        <f>+IFERROR(VLOOKUP(A336,TB31032020!$A$11:$C$415,2,0),0)</f>
        <v>131953</v>
      </c>
      <c r="F336" s="28">
        <v>0</v>
      </c>
      <c r="G336" s="28">
        <f t="shared" si="47"/>
        <v>131953</v>
      </c>
      <c r="H336" s="28">
        <f>+IFERROR(VLOOKUP(A336,TB31032020!$A$11:$C$415,3,0),0)</f>
        <v>0</v>
      </c>
      <c r="I336" s="28">
        <v>0</v>
      </c>
      <c r="J336" s="28">
        <f t="shared" si="48"/>
        <v>0</v>
      </c>
      <c r="K336" s="28">
        <f>+IFERROR(VLOOKUP(A336,TB310320119!$A$11:$C$422,2,0),0)</f>
        <v>0</v>
      </c>
      <c r="L336" s="28">
        <v>0</v>
      </c>
      <c r="M336" s="28">
        <f t="shared" ref="M336" si="51">K336+L336</f>
        <v>0</v>
      </c>
      <c r="N336" s="28">
        <f>+IFERROR(VLOOKUP(A336,TB310320119!$A$11:$C$421,3,0),0)</f>
        <v>0</v>
      </c>
      <c r="O336" s="28">
        <v>0</v>
      </c>
      <c r="P336" s="28">
        <f t="shared" ref="P336" si="52">N336+O336</f>
        <v>0</v>
      </c>
      <c r="Q336" s="20">
        <f t="shared" ref="Q336" si="53">+SUM(E336:P336)</f>
        <v>263906</v>
      </c>
    </row>
    <row r="337" spans="1:17" ht="15" customHeight="1">
      <c r="A337" s="33" t="s">
        <v>495</v>
      </c>
      <c r="B337" s="28">
        <v>15</v>
      </c>
      <c r="C337" s="28" t="s">
        <v>563</v>
      </c>
      <c r="D337" s="28" t="s">
        <v>564</v>
      </c>
      <c r="E337" s="28">
        <f>+IFERROR(VLOOKUP(A337,TB31032020!$A$11:$C$415,2,0),0)</f>
        <v>0</v>
      </c>
      <c r="F337" s="28">
        <v>0</v>
      </c>
      <c r="G337" s="28">
        <f t="shared" si="47"/>
        <v>0</v>
      </c>
      <c r="H337" s="28">
        <f>+IFERROR(VLOOKUP(A337,TB31032020!$A$11:$C$415,3,0),0)</f>
        <v>0</v>
      </c>
      <c r="I337" s="28">
        <v>0</v>
      </c>
      <c r="J337" s="28">
        <f t="shared" si="48"/>
        <v>0</v>
      </c>
      <c r="K337" s="28">
        <f>+IFERROR(VLOOKUP(A337,TB310320119!$A$11:$C$422,2,0),0)</f>
        <v>0</v>
      </c>
      <c r="L337" s="28">
        <v>0</v>
      </c>
      <c r="M337" s="28">
        <f t="shared" si="49"/>
        <v>0</v>
      </c>
      <c r="N337" s="28">
        <f>+IFERROR(VLOOKUP(A337,TB310320119!$A$11:$C$421,3,0),0)</f>
        <v>7758</v>
      </c>
      <c r="O337" s="28">
        <v>0</v>
      </c>
      <c r="P337" s="28">
        <f t="shared" si="46"/>
        <v>7758</v>
      </c>
      <c r="Q337" s="20">
        <f t="shared" si="50"/>
        <v>15516</v>
      </c>
    </row>
    <row r="338" spans="1:17" ht="15" customHeight="1">
      <c r="A338" s="33" t="s">
        <v>269</v>
      </c>
      <c r="B338" s="28">
        <v>26</v>
      </c>
      <c r="C338" s="28" t="s">
        <v>568</v>
      </c>
      <c r="D338" s="28" t="s">
        <v>609</v>
      </c>
      <c r="E338" s="28">
        <f>+IFERROR(VLOOKUP(A338,TB31032020!$A$11:$C$415,2,0),0)</f>
        <v>509760.8</v>
      </c>
      <c r="F338" s="28">
        <v>0</v>
      </c>
      <c r="G338" s="28">
        <f t="shared" si="47"/>
        <v>509760.8</v>
      </c>
      <c r="H338" s="28">
        <f>+IFERROR(VLOOKUP(A338,TB31032020!$A$11:$C$415,3,0),0)</f>
        <v>0</v>
      </c>
      <c r="I338" s="28">
        <v>0</v>
      </c>
      <c r="J338" s="28">
        <f t="shared" si="48"/>
        <v>0</v>
      </c>
      <c r="K338" s="28">
        <f>+IFERROR(VLOOKUP(A338,TB310320119!$A$11:$C$422,2,0),0)</f>
        <v>1259000</v>
      </c>
      <c r="L338" s="28">
        <v>0</v>
      </c>
      <c r="M338" s="28">
        <f t="shared" si="49"/>
        <v>1259000</v>
      </c>
      <c r="N338" s="28">
        <f>+IFERROR(VLOOKUP(A338,TB310320119!$A$11:$C$421,3,0),0)</f>
        <v>0</v>
      </c>
      <c r="O338" s="28">
        <v>0</v>
      </c>
      <c r="P338" s="28">
        <f t="shared" si="46"/>
        <v>0</v>
      </c>
      <c r="Q338" s="20">
        <f t="shared" si="50"/>
        <v>3537521.6</v>
      </c>
    </row>
    <row r="339" spans="1:17" ht="15" customHeight="1">
      <c r="A339" s="33" t="s">
        <v>496</v>
      </c>
      <c r="B339" s="28">
        <v>26</v>
      </c>
      <c r="C339" s="28" t="s">
        <v>568</v>
      </c>
      <c r="D339" s="28" t="s">
        <v>569</v>
      </c>
      <c r="E339" s="28">
        <f>+IFERROR(VLOOKUP(A339,TB31032020!$A$11:$C$415,2,0),0)</f>
        <v>0</v>
      </c>
      <c r="F339" s="28">
        <v>0</v>
      </c>
      <c r="G339" s="28">
        <f t="shared" si="47"/>
        <v>0</v>
      </c>
      <c r="H339" s="28">
        <f>+IFERROR(VLOOKUP(A339,TB31032020!$A$11:$C$415,3,0),0)</f>
        <v>0</v>
      </c>
      <c r="I339" s="28">
        <v>0</v>
      </c>
      <c r="J339" s="28">
        <f t="shared" si="48"/>
        <v>0</v>
      </c>
      <c r="K339" s="28">
        <f>+IFERROR(VLOOKUP(A339,TB310320119!$A$11:$C$422,2,0),0)</f>
        <v>5000</v>
      </c>
      <c r="L339" s="28">
        <v>0</v>
      </c>
      <c r="M339" s="28">
        <f t="shared" si="49"/>
        <v>5000</v>
      </c>
      <c r="N339" s="28">
        <f>+IFERROR(VLOOKUP(A339,TB310320119!$A$11:$C$421,3,0),0)</f>
        <v>0</v>
      </c>
      <c r="O339" s="28">
        <v>0</v>
      </c>
      <c r="P339" s="28">
        <f t="shared" si="46"/>
        <v>0</v>
      </c>
      <c r="Q339" s="20">
        <f t="shared" si="50"/>
        <v>10000</v>
      </c>
    </row>
    <row r="340" spans="1:17" ht="15" customHeight="1">
      <c r="A340" s="33" t="s">
        <v>685</v>
      </c>
      <c r="B340" s="46">
        <v>3</v>
      </c>
      <c r="C340" s="28" t="s">
        <v>597</v>
      </c>
      <c r="D340" s="28" t="s">
        <v>686</v>
      </c>
      <c r="E340" s="28">
        <f>+IFERROR(VLOOKUP(A340,TB31032020!$A$11:$C$415,2,0),0)</f>
        <v>0</v>
      </c>
      <c r="F340" s="28">
        <v>0</v>
      </c>
      <c r="G340" s="28">
        <f t="shared" si="47"/>
        <v>0</v>
      </c>
      <c r="H340" s="28">
        <f>+IFERROR(VLOOKUP(A340,TB31032020!$A$11:$C$415,3,0),0)</f>
        <v>112979368.51000001</v>
      </c>
      <c r="I340" s="28">
        <v>0</v>
      </c>
      <c r="J340" s="28">
        <f t="shared" si="48"/>
        <v>112979368.51000001</v>
      </c>
      <c r="K340" s="28">
        <f>+IFERROR(VLOOKUP(A340,TB310320119!$A$11:$C$422,2,0),0)</f>
        <v>0</v>
      </c>
      <c r="L340" s="28">
        <v>0</v>
      </c>
      <c r="M340" s="28">
        <f t="shared" si="49"/>
        <v>0</v>
      </c>
      <c r="N340" s="28">
        <f>+IFERROR(VLOOKUP(A340,TB310320119!$A$11:$C$421,3,0),0)</f>
        <v>54521566.57</v>
      </c>
      <c r="O340" s="28">
        <v>0</v>
      </c>
      <c r="P340" s="28">
        <f t="shared" si="46"/>
        <v>54521566.57</v>
      </c>
      <c r="Q340" s="20">
        <f t="shared" si="50"/>
        <v>335001870.16000003</v>
      </c>
    </row>
    <row r="341" spans="1:17" ht="15" customHeight="1">
      <c r="A341" s="36" t="s">
        <v>271</v>
      </c>
      <c r="B341" s="28">
        <v>20</v>
      </c>
      <c r="C341" s="28" t="s">
        <v>643</v>
      </c>
      <c r="D341" s="28" t="s">
        <v>271</v>
      </c>
      <c r="E341" s="28">
        <f>+IFERROR(VLOOKUP(A341,TB31032020!$A$11:$C$415,2,0),0)</f>
        <v>0</v>
      </c>
      <c r="F341" s="28">
        <v>0</v>
      </c>
      <c r="G341" s="28">
        <f t="shared" si="47"/>
        <v>0</v>
      </c>
      <c r="H341" s="28">
        <f>+IFERROR(VLOOKUP(A341,TB31032020!$A$11:$C$415,3,0),0)</f>
        <v>18263</v>
      </c>
      <c r="I341" s="28">
        <v>0</v>
      </c>
      <c r="J341" s="28">
        <f t="shared" si="48"/>
        <v>18263</v>
      </c>
      <c r="K341" s="28">
        <f>+IFERROR(VLOOKUP(A341,TB310320119!$A$11:$C$422,2,0),0)</f>
        <v>0</v>
      </c>
      <c r="L341" s="28">
        <v>0</v>
      </c>
      <c r="M341" s="28">
        <f t="shared" si="49"/>
        <v>0</v>
      </c>
      <c r="N341" s="28">
        <f>+IFERROR(VLOOKUP(A341,TB310320119!$A$11:$C$421,3,0),0)</f>
        <v>0</v>
      </c>
      <c r="O341" s="28">
        <v>0</v>
      </c>
      <c r="P341" s="28">
        <f t="shared" si="46"/>
        <v>0</v>
      </c>
      <c r="Q341" s="20">
        <f t="shared" si="50"/>
        <v>36526</v>
      </c>
    </row>
    <row r="342" spans="1:17" ht="15" customHeight="1">
      <c r="A342" s="33" t="s">
        <v>272</v>
      </c>
      <c r="B342" s="28">
        <v>20</v>
      </c>
      <c r="C342" s="28" t="s">
        <v>643</v>
      </c>
      <c r="D342" s="28" t="s">
        <v>643</v>
      </c>
      <c r="E342" s="28">
        <f>+IFERROR(VLOOKUP(A342,TB31032020!$A$11:$C$415,2,0),0)</f>
        <v>0</v>
      </c>
      <c r="F342" s="28">
        <v>0</v>
      </c>
      <c r="G342" s="28">
        <f t="shared" si="47"/>
        <v>0</v>
      </c>
      <c r="H342" s="28">
        <f>+IFERROR(VLOOKUP(A342,TB31032020!$A$11:$C$415,3,0),0)</f>
        <v>9443500</v>
      </c>
      <c r="I342" s="28">
        <v>0</v>
      </c>
      <c r="J342" s="28">
        <f t="shared" si="48"/>
        <v>9443500</v>
      </c>
      <c r="K342" s="28">
        <f>+IFERROR(VLOOKUP(A342,TB310320119!$A$11:$C$422,2,0),0)</f>
        <v>0</v>
      </c>
      <c r="L342" s="28">
        <v>0</v>
      </c>
      <c r="M342" s="28">
        <f t="shared" si="49"/>
        <v>0</v>
      </c>
      <c r="N342" s="28">
        <f>+IFERROR(VLOOKUP(A342,TB310320119!$A$11:$C$421,3,0),0)</f>
        <v>9443500</v>
      </c>
      <c r="O342" s="28">
        <v>0</v>
      </c>
      <c r="P342" s="28">
        <f t="shared" si="46"/>
        <v>9443500</v>
      </c>
      <c r="Q342" s="20">
        <f t="shared" si="50"/>
        <v>37774000</v>
      </c>
    </row>
    <row r="343" spans="1:17" ht="15" customHeight="1">
      <c r="A343" s="33" t="s">
        <v>687</v>
      </c>
      <c r="B343" s="28">
        <v>24</v>
      </c>
      <c r="C343" s="28" t="s">
        <v>579</v>
      </c>
      <c r="D343" s="28" t="s">
        <v>638</v>
      </c>
      <c r="E343" s="28">
        <f>+IFERROR(VLOOKUP(A343,TB31032020!$A$11:$C$415,2,0),0)</f>
        <v>1171704</v>
      </c>
      <c r="F343" s="28">
        <v>0</v>
      </c>
      <c r="G343" s="28">
        <f t="shared" si="47"/>
        <v>1171704</v>
      </c>
      <c r="H343" s="28">
        <f>+IFERROR(VLOOKUP(A343,TB31032020!$A$11:$C$415,3,0),0)</f>
        <v>0</v>
      </c>
      <c r="I343" s="28">
        <v>0</v>
      </c>
      <c r="J343" s="28">
        <f t="shared" si="48"/>
        <v>0</v>
      </c>
      <c r="K343" s="28">
        <f>+IFERROR(VLOOKUP(A343,TB310320119!$A$11:$C$422,2,0),0)</f>
        <v>1175170</v>
      </c>
      <c r="L343" s="28">
        <v>0</v>
      </c>
      <c r="M343" s="28">
        <f t="shared" si="49"/>
        <v>1175170</v>
      </c>
      <c r="N343" s="28">
        <f>+IFERROR(VLOOKUP(A343,TB310320119!$A$11:$C$421,3,0),0)</f>
        <v>0</v>
      </c>
      <c r="O343" s="28">
        <v>0</v>
      </c>
      <c r="P343" s="28">
        <f t="shared" si="46"/>
        <v>0</v>
      </c>
      <c r="Q343" s="20">
        <f t="shared" si="50"/>
        <v>4693748</v>
      </c>
    </row>
    <row r="344" spans="1:17" ht="15" customHeight="1">
      <c r="A344" s="33" t="s">
        <v>274</v>
      </c>
      <c r="B344" s="28">
        <v>9</v>
      </c>
      <c r="C344" s="28" t="s">
        <v>627</v>
      </c>
      <c r="D344" s="28" t="s">
        <v>628</v>
      </c>
      <c r="E344" s="28">
        <f>+IFERROR(VLOOKUP(A344,TB31032020!$A$11:$C$415,2,0),0)</f>
        <v>0</v>
      </c>
      <c r="F344" s="28">
        <v>0</v>
      </c>
      <c r="G344" s="28">
        <f t="shared" si="47"/>
        <v>0</v>
      </c>
      <c r="H344" s="28">
        <f>+IFERROR(VLOOKUP(A344,TB31032020!$A$11:$C$415,3,0),0)</f>
        <v>5136213</v>
      </c>
      <c r="I344" s="28">
        <v>0</v>
      </c>
      <c r="J344" s="28">
        <f t="shared" si="48"/>
        <v>5136213</v>
      </c>
      <c r="K344" s="28">
        <f>+IFERROR(VLOOKUP(A344,TB310320119!$A$11:$C$422,2,0),0)</f>
        <v>0</v>
      </c>
      <c r="L344" s="28">
        <v>0</v>
      </c>
      <c r="M344" s="28">
        <f t="shared" si="49"/>
        <v>0</v>
      </c>
      <c r="N344" s="28">
        <f>+IFERROR(VLOOKUP(A344,TB310320119!$A$11:$C$421,3,0),0)</f>
        <v>4285449</v>
      </c>
      <c r="O344" s="28"/>
      <c r="P344" s="28">
        <f t="shared" si="46"/>
        <v>4285449</v>
      </c>
      <c r="Q344" s="20">
        <f t="shared" si="50"/>
        <v>18843324</v>
      </c>
    </row>
    <row r="345" spans="1:17" ht="15" customHeight="1">
      <c r="A345" s="33" t="s">
        <v>275</v>
      </c>
      <c r="B345" s="28">
        <v>10</v>
      </c>
      <c r="C345" s="28" t="s">
        <v>592</v>
      </c>
      <c r="D345" s="28" t="s">
        <v>688</v>
      </c>
      <c r="E345" s="28">
        <f>+IFERROR(VLOOKUP(A345,TB31032020!$A$11:$C$415,2,0),0)</f>
        <v>0</v>
      </c>
      <c r="F345" s="28">
        <v>0</v>
      </c>
      <c r="G345" s="28">
        <f t="shared" si="47"/>
        <v>0</v>
      </c>
      <c r="H345" s="28">
        <f>+IFERROR(VLOOKUP(A345,TB31032020!$A$11:$C$415,3,0),0)</f>
        <v>3321516</v>
      </c>
      <c r="I345" s="28">
        <v>0</v>
      </c>
      <c r="J345" s="28">
        <f t="shared" si="48"/>
        <v>3321516</v>
      </c>
      <c r="K345" s="28">
        <f>+IFERROR(VLOOKUP(A345,TB310320119!$A$11:$C$422,2,0),0)</f>
        <v>0</v>
      </c>
      <c r="L345" s="28">
        <v>0</v>
      </c>
      <c r="M345" s="28">
        <f t="shared" si="49"/>
        <v>0</v>
      </c>
      <c r="N345" s="28">
        <f>+IFERROR(VLOOKUP(A345,TB310320119!$A$11:$C$421,3,0),0)</f>
        <v>1578365</v>
      </c>
      <c r="O345" s="28">
        <v>0</v>
      </c>
      <c r="P345" s="28">
        <f t="shared" si="46"/>
        <v>1578365</v>
      </c>
      <c r="Q345" s="20">
        <f t="shared" si="50"/>
        <v>9799762</v>
      </c>
    </row>
    <row r="346" spans="1:17" ht="15" customHeight="1">
      <c r="A346" s="33" t="s">
        <v>689</v>
      </c>
      <c r="B346" s="28">
        <v>10</v>
      </c>
      <c r="C346" s="28" t="s">
        <v>592</v>
      </c>
      <c r="D346" s="28" t="s">
        <v>688</v>
      </c>
      <c r="E346" s="28">
        <f>+IFERROR(VLOOKUP(A346,TB31032020!$A$11:$C$415,2,0),0)</f>
        <v>0</v>
      </c>
      <c r="F346" s="28">
        <v>0</v>
      </c>
      <c r="G346" s="28">
        <f t="shared" si="47"/>
        <v>0</v>
      </c>
      <c r="H346" s="28">
        <f>+IFERROR(VLOOKUP(A346,TB31032020!$A$11:$C$415,3,0),0)</f>
        <v>939164</v>
      </c>
      <c r="I346" s="28">
        <v>0</v>
      </c>
      <c r="J346" s="28">
        <f t="shared" si="48"/>
        <v>939164</v>
      </c>
      <c r="K346" s="28">
        <f>+IFERROR(VLOOKUP(A346,TB310320119!$A$11:$C$422,2,0),0)</f>
        <v>0</v>
      </c>
      <c r="L346" s="28">
        <v>0</v>
      </c>
      <c r="M346" s="28">
        <f t="shared" si="49"/>
        <v>0</v>
      </c>
      <c r="N346" s="28">
        <f>+IFERROR(VLOOKUP(A346,TB310320119!$A$11:$C$421,3,0),0)</f>
        <v>846428</v>
      </c>
      <c r="O346" s="28">
        <v>0</v>
      </c>
      <c r="P346" s="28">
        <f t="shared" si="46"/>
        <v>846428</v>
      </c>
      <c r="Q346" s="20">
        <f t="shared" si="50"/>
        <v>3571184</v>
      </c>
    </row>
    <row r="347" spans="1:17" ht="15" customHeight="1">
      <c r="A347" s="33" t="s">
        <v>690</v>
      </c>
      <c r="B347" s="28">
        <v>10</v>
      </c>
      <c r="C347" s="28" t="s">
        <v>592</v>
      </c>
      <c r="D347" s="28" t="s">
        <v>688</v>
      </c>
      <c r="E347" s="28">
        <f>+IFERROR(VLOOKUP(A347,TB31032020!$A$11:$C$415,2,0),0)</f>
        <v>0</v>
      </c>
      <c r="F347" s="28">
        <v>0</v>
      </c>
      <c r="G347" s="28">
        <f t="shared" si="47"/>
        <v>0</v>
      </c>
      <c r="H347" s="28">
        <f>+IFERROR(VLOOKUP(A347,TB31032020!$A$11:$C$415,3,0),0)</f>
        <v>16647093</v>
      </c>
      <c r="I347" s="28">
        <v>0</v>
      </c>
      <c r="J347" s="28">
        <f t="shared" si="48"/>
        <v>16647093</v>
      </c>
      <c r="K347" s="28">
        <f>+IFERROR(VLOOKUP(A347,TB310320119!$A$11:$C$422,2,0),0)</f>
        <v>0</v>
      </c>
      <c r="L347" s="28">
        <v>0</v>
      </c>
      <c r="M347" s="28">
        <f t="shared" si="49"/>
        <v>0</v>
      </c>
      <c r="N347" s="28">
        <f>+IFERROR(VLOOKUP(A347,TB310320119!$A$11:$C$421,3,0),0)</f>
        <v>14761635</v>
      </c>
      <c r="O347" s="28">
        <v>0</v>
      </c>
      <c r="P347" s="28">
        <f t="shared" si="46"/>
        <v>14761635</v>
      </c>
      <c r="Q347" s="20">
        <f t="shared" si="50"/>
        <v>62817456</v>
      </c>
    </row>
    <row r="348" spans="1:17" ht="15" customHeight="1">
      <c r="A348" s="33" t="s">
        <v>278</v>
      </c>
      <c r="B348" s="28">
        <v>10</v>
      </c>
      <c r="C348" s="28" t="s">
        <v>592</v>
      </c>
      <c r="D348" s="28" t="s">
        <v>688</v>
      </c>
      <c r="E348" s="28">
        <f>+IFERROR(VLOOKUP(A348,TB31032020!$A$11:$C$415,2,0),0)</f>
        <v>0</v>
      </c>
      <c r="F348" s="28">
        <v>0</v>
      </c>
      <c r="G348" s="28">
        <f t="shared" si="47"/>
        <v>0</v>
      </c>
      <c r="H348" s="28">
        <f>+IFERROR(VLOOKUP(A348,TB31032020!$A$11:$C$415,3,0),0)</f>
        <v>379192</v>
      </c>
      <c r="I348" s="28">
        <v>0</v>
      </c>
      <c r="J348" s="28">
        <f t="shared" si="48"/>
        <v>379192</v>
      </c>
      <c r="K348" s="28">
        <f>+IFERROR(VLOOKUP(A348,TB310320119!$A$11:$C$422,2,0),0)</f>
        <v>0</v>
      </c>
      <c r="L348" s="28">
        <v>0</v>
      </c>
      <c r="M348" s="28">
        <f t="shared" si="49"/>
        <v>0</v>
      </c>
      <c r="N348" s="28">
        <f>+IFERROR(VLOOKUP(A348,TB310320119!$A$11:$C$421,3,0),0)</f>
        <v>379192</v>
      </c>
      <c r="O348" s="28">
        <v>0</v>
      </c>
      <c r="P348" s="28">
        <f t="shared" si="46"/>
        <v>379192</v>
      </c>
      <c r="Q348" s="20">
        <f t="shared" si="50"/>
        <v>1516768</v>
      </c>
    </row>
    <row r="349" spans="1:17" ht="15" customHeight="1">
      <c r="A349" s="33" t="s">
        <v>691</v>
      </c>
      <c r="B349" s="28">
        <v>10</v>
      </c>
      <c r="C349" s="28" t="s">
        <v>592</v>
      </c>
      <c r="D349" s="28" t="s">
        <v>688</v>
      </c>
      <c r="E349" s="28">
        <f>+IFERROR(VLOOKUP(A349,TB31032020!$A$11:$C$415,2,0),0)</f>
        <v>0</v>
      </c>
      <c r="F349" s="28">
        <v>0</v>
      </c>
      <c r="G349" s="28">
        <f t="shared" si="47"/>
        <v>0</v>
      </c>
      <c r="H349" s="28">
        <f>+IFERROR(VLOOKUP(A349,TB31032020!$A$11:$C$415,3,0),0)</f>
        <v>1478167</v>
      </c>
      <c r="I349" s="28">
        <v>0</v>
      </c>
      <c r="J349" s="28">
        <f t="shared" si="48"/>
        <v>1478167</v>
      </c>
      <c r="K349" s="28">
        <f>+IFERROR(VLOOKUP(A349,TB310320119!$A$11:$C$422,2,0),0)</f>
        <v>0</v>
      </c>
      <c r="L349" s="28">
        <v>0</v>
      </c>
      <c r="M349" s="28">
        <f t="shared" si="49"/>
        <v>0</v>
      </c>
      <c r="N349" s="28">
        <f>+IFERROR(VLOOKUP(A349,TB310320119!$A$11:$C$421,3,0),0)</f>
        <v>1420188</v>
      </c>
      <c r="O349" s="28">
        <v>0</v>
      </c>
      <c r="P349" s="28">
        <f t="shared" si="46"/>
        <v>1420188</v>
      </c>
      <c r="Q349" s="20">
        <f t="shared" si="50"/>
        <v>5796710</v>
      </c>
    </row>
    <row r="350" spans="1:17" ht="15" customHeight="1">
      <c r="A350" s="33" t="s">
        <v>692</v>
      </c>
      <c r="B350" s="28">
        <v>10</v>
      </c>
      <c r="C350" s="28" t="s">
        <v>592</v>
      </c>
      <c r="D350" s="28" t="s">
        <v>688</v>
      </c>
      <c r="E350" s="28">
        <f>+IFERROR(VLOOKUP(A350,TB31032020!$A$11:$C$415,2,0),0)</f>
        <v>0</v>
      </c>
      <c r="F350" s="28">
        <v>0</v>
      </c>
      <c r="G350" s="28">
        <f t="shared" si="47"/>
        <v>0</v>
      </c>
      <c r="H350" s="28">
        <f>+IFERROR(VLOOKUP(A350,TB31032020!$A$11:$C$415,3,0),0)</f>
        <v>753819</v>
      </c>
      <c r="I350" s="28">
        <v>0</v>
      </c>
      <c r="J350" s="28">
        <f t="shared" si="48"/>
        <v>753819</v>
      </c>
      <c r="K350" s="28">
        <f>+IFERROR(VLOOKUP(A350,TB310320119!$A$11:$C$422,2,0),0)</f>
        <v>0</v>
      </c>
      <c r="L350" s="28">
        <v>0</v>
      </c>
      <c r="M350" s="28">
        <f t="shared" si="49"/>
        <v>0</v>
      </c>
      <c r="N350" s="28">
        <f>+IFERROR(VLOOKUP(A350,TB310320119!$A$11:$C$421,3,0),0)</f>
        <v>729742</v>
      </c>
      <c r="O350" s="28">
        <v>0</v>
      </c>
      <c r="P350" s="28">
        <f t="shared" si="46"/>
        <v>729742</v>
      </c>
      <c r="Q350" s="20">
        <f t="shared" si="50"/>
        <v>2967122</v>
      </c>
    </row>
    <row r="351" spans="1:17" ht="15" customHeight="1">
      <c r="A351" s="33" t="s">
        <v>693</v>
      </c>
      <c r="B351" s="28">
        <v>10</v>
      </c>
      <c r="C351" s="28" t="s">
        <v>592</v>
      </c>
      <c r="D351" s="28" t="s">
        <v>688</v>
      </c>
      <c r="E351" s="28">
        <f>+IFERROR(VLOOKUP(A351,TB31032020!$A$11:$C$415,2,0),0)</f>
        <v>0</v>
      </c>
      <c r="F351" s="28">
        <v>0</v>
      </c>
      <c r="G351" s="28">
        <f t="shared" si="47"/>
        <v>0</v>
      </c>
      <c r="H351" s="28">
        <f>+IFERROR(VLOOKUP(A351,TB31032020!$A$11:$C$415,3,0),0)</f>
        <v>92431427</v>
      </c>
      <c r="I351" s="28">
        <v>0</v>
      </c>
      <c r="J351" s="28">
        <f t="shared" si="48"/>
        <v>92431427</v>
      </c>
      <c r="K351" s="28">
        <f>+IFERROR(VLOOKUP(A351,TB310320119!$A$11:$C$422,2,0),0)</f>
        <v>0</v>
      </c>
      <c r="L351" s="28">
        <v>0</v>
      </c>
      <c r="M351" s="28">
        <f t="shared" si="49"/>
        <v>0</v>
      </c>
      <c r="N351" s="28">
        <f>+IFERROR(VLOOKUP(A351,TB310320119!$A$11:$C$421,3,0),0)</f>
        <v>79329687</v>
      </c>
      <c r="O351" s="28">
        <v>0</v>
      </c>
      <c r="P351" s="28">
        <f t="shared" si="46"/>
        <v>79329687</v>
      </c>
      <c r="Q351" s="20">
        <f t="shared" si="50"/>
        <v>343522228</v>
      </c>
    </row>
    <row r="352" spans="1:17" ht="15" customHeight="1">
      <c r="A352" s="33" t="s">
        <v>694</v>
      </c>
      <c r="B352" s="28">
        <v>10</v>
      </c>
      <c r="C352" s="28" t="s">
        <v>592</v>
      </c>
      <c r="D352" s="28" t="s">
        <v>688</v>
      </c>
      <c r="E352" s="28">
        <f>+IFERROR(VLOOKUP(A352,TB31032020!$A$11:$C$415,2,0),0)</f>
        <v>0</v>
      </c>
      <c r="F352" s="28">
        <v>0</v>
      </c>
      <c r="G352" s="28">
        <f t="shared" si="47"/>
        <v>0</v>
      </c>
      <c r="H352" s="28">
        <f>+IFERROR(VLOOKUP(A352,TB31032020!$A$11:$C$415,3,0),0)</f>
        <v>189571</v>
      </c>
      <c r="I352" s="28">
        <v>0</v>
      </c>
      <c r="J352" s="28">
        <f t="shared" si="48"/>
        <v>189571</v>
      </c>
      <c r="K352" s="28">
        <f>+IFERROR(VLOOKUP(A352,TB310320119!$A$11:$C$422,2,0),0)</f>
        <v>0</v>
      </c>
      <c r="L352" s="28">
        <v>0</v>
      </c>
      <c r="M352" s="28">
        <f t="shared" si="49"/>
        <v>0</v>
      </c>
      <c r="N352" s="28">
        <f>+IFERROR(VLOOKUP(A352,TB310320119!$A$11:$C$421,3,0),0)</f>
        <v>1238122</v>
      </c>
      <c r="O352" s="28">
        <v>0</v>
      </c>
      <c r="P352" s="28">
        <f t="shared" si="46"/>
        <v>1238122</v>
      </c>
      <c r="Q352" s="20">
        <f t="shared" si="50"/>
        <v>2855386</v>
      </c>
    </row>
    <row r="353" spans="1:17" ht="15" customHeight="1">
      <c r="A353" s="33" t="s">
        <v>287</v>
      </c>
      <c r="B353" s="28">
        <v>12</v>
      </c>
      <c r="C353" s="28" t="s">
        <v>566</v>
      </c>
      <c r="D353" s="28" t="s">
        <v>567</v>
      </c>
      <c r="E353" s="28">
        <f>+IFERROR(VLOOKUP(A353,TB31032020!$A$11:$C$415,2,0),0)</f>
        <v>34285</v>
      </c>
      <c r="F353" s="28">
        <v>0</v>
      </c>
      <c r="G353" s="28">
        <f t="shared" si="47"/>
        <v>34285</v>
      </c>
      <c r="H353" s="28">
        <f>+IFERROR(VLOOKUP(A353,TB31032020!$A$11:$C$415,3,0),0)</f>
        <v>0</v>
      </c>
      <c r="I353" s="28">
        <v>0</v>
      </c>
      <c r="J353" s="28">
        <f t="shared" si="48"/>
        <v>0</v>
      </c>
      <c r="K353" s="28">
        <f>+IFERROR(VLOOKUP(A353,TB310320119!$A$11:$C$422,2,0),0)</f>
        <v>34285</v>
      </c>
      <c r="L353" s="28">
        <v>0</v>
      </c>
      <c r="M353" s="28">
        <f t="shared" si="49"/>
        <v>34285</v>
      </c>
      <c r="N353" s="28">
        <f>+IFERROR(VLOOKUP(A353,TB310320119!$A$11:$C$421,3,0),0)</f>
        <v>0</v>
      </c>
      <c r="O353" s="28">
        <v>0</v>
      </c>
      <c r="P353" s="28">
        <f t="shared" si="46"/>
        <v>0</v>
      </c>
      <c r="Q353" s="20">
        <f t="shared" si="50"/>
        <v>137140</v>
      </c>
    </row>
    <row r="354" spans="1:17" ht="15" customHeight="1">
      <c r="A354" s="33" t="s">
        <v>1309</v>
      </c>
      <c r="B354" s="28">
        <v>12</v>
      </c>
      <c r="C354" s="28" t="s">
        <v>566</v>
      </c>
      <c r="D354" s="28" t="s">
        <v>567</v>
      </c>
      <c r="E354" s="28">
        <f>+IFERROR(VLOOKUP(A354,TB31032020!$A$11:$C$415,2,0),0)</f>
        <v>17190</v>
      </c>
      <c r="F354" s="28">
        <v>0</v>
      </c>
      <c r="G354" s="28">
        <f t="shared" si="47"/>
        <v>17190</v>
      </c>
      <c r="H354" s="28">
        <f>+IFERROR(VLOOKUP(A354,TB31032020!$A$11:$C$415,3,0),0)</f>
        <v>0</v>
      </c>
      <c r="I354" s="28">
        <v>0</v>
      </c>
      <c r="J354" s="28">
        <f t="shared" si="48"/>
        <v>0</v>
      </c>
      <c r="K354" s="28">
        <f>+IFERROR(VLOOKUP(A354,TB310320119!$A$11:$C$422,2,0),0)</f>
        <v>0</v>
      </c>
      <c r="L354" s="28">
        <v>0</v>
      </c>
      <c r="M354" s="28">
        <f t="shared" ref="M354" si="54">K354+L354</f>
        <v>0</v>
      </c>
      <c r="N354" s="28">
        <f>+IFERROR(VLOOKUP(A354,TB310320119!$A$11:$C$421,3,0),0)</f>
        <v>0</v>
      </c>
      <c r="O354" s="28">
        <v>0</v>
      </c>
      <c r="P354" s="28">
        <f t="shared" ref="P354" si="55">N354+O354</f>
        <v>0</v>
      </c>
      <c r="Q354" s="20">
        <f t="shared" ref="Q354" si="56">+SUM(E354:P354)</f>
        <v>34380</v>
      </c>
    </row>
    <row r="355" spans="1:17" ht="15" customHeight="1">
      <c r="A355" s="33" t="s">
        <v>284</v>
      </c>
      <c r="B355" s="28">
        <v>12</v>
      </c>
      <c r="C355" s="28" t="s">
        <v>566</v>
      </c>
      <c r="D355" s="28" t="s">
        <v>567</v>
      </c>
      <c r="E355" s="28">
        <f>+IFERROR(VLOOKUP(A355,TB31032020!$A$11:$C$415,2,0),0)</f>
        <v>122153</v>
      </c>
      <c r="F355" s="28">
        <v>0</v>
      </c>
      <c r="G355" s="28">
        <f t="shared" si="47"/>
        <v>122153</v>
      </c>
      <c r="H355" s="28">
        <f>+IFERROR(VLOOKUP(A355,TB31032020!$A$11:$C$415,3,0),0)</f>
        <v>0</v>
      </c>
      <c r="I355" s="28">
        <v>0</v>
      </c>
      <c r="J355" s="28">
        <f t="shared" si="48"/>
        <v>0</v>
      </c>
      <c r="K355" s="28">
        <f>+IFERROR(VLOOKUP(A355,TB310320119!$A$11:$C$422,2,0),0)</f>
        <v>122153</v>
      </c>
      <c r="L355" s="28">
        <v>0</v>
      </c>
      <c r="M355" s="28">
        <f t="shared" si="49"/>
        <v>122153</v>
      </c>
      <c r="N355" s="28">
        <f>+IFERROR(VLOOKUP(A355,TB310320119!$A$11:$C$421,3,0),0)</f>
        <v>0</v>
      </c>
      <c r="O355" s="28">
        <v>0</v>
      </c>
      <c r="P355" s="28">
        <f t="shared" si="46"/>
        <v>0</v>
      </c>
      <c r="Q355" s="20">
        <f t="shared" si="50"/>
        <v>488612</v>
      </c>
    </row>
    <row r="356" spans="1:17" ht="15" customHeight="1">
      <c r="A356" s="33" t="s">
        <v>286</v>
      </c>
      <c r="B356" s="28">
        <v>12</v>
      </c>
      <c r="C356" s="28" t="s">
        <v>566</v>
      </c>
      <c r="D356" s="28" t="s">
        <v>567</v>
      </c>
      <c r="E356" s="28">
        <f>+IFERROR(VLOOKUP(A356,TB31032020!$A$11:$C$415,2,0),0)</f>
        <v>139678</v>
      </c>
      <c r="F356" s="28">
        <v>0</v>
      </c>
      <c r="G356" s="28">
        <f t="shared" si="47"/>
        <v>139678</v>
      </c>
      <c r="H356" s="28">
        <f>+IFERROR(VLOOKUP(A356,TB31032020!$A$11:$C$415,3,0),0)</f>
        <v>0</v>
      </c>
      <c r="I356" s="28">
        <v>0</v>
      </c>
      <c r="J356" s="28">
        <f t="shared" si="48"/>
        <v>0</v>
      </c>
      <c r="K356" s="28">
        <f>+IFERROR(VLOOKUP(A356,TB310320119!$A$11:$C$422,2,0),0)</f>
        <v>139678</v>
      </c>
      <c r="L356" s="28">
        <v>0</v>
      </c>
      <c r="M356" s="28">
        <f t="shared" si="49"/>
        <v>139678</v>
      </c>
      <c r="N356" s="28">
        <f>+IFERROR(VLOOKUP(A356,TB310320119!$A$11:$C$421,3,0),0)</f>
        <v>0</v>
      </c>
      <c r="O356" s="28">
        <v>0</v>
      </c>
      <c r="P356" s="28">
        <f t="shared" si="46"/>
        <v>0</v>
      </c>
      <c r="Q356" s="20">
        <f t="shared" si="50"/>
        <v>558712</v>
      </c>
    </row>
    <row r="357" spans="1:17" ht="15" customHeight="1">
      <c r="A357" s="33" t="s">
        <v>285</v>
      </c>
      <c r="B357" s="28">
        <v>12</v>
      </c>
      <c r="C357" s="28" t="s">
        <v>566</v>
      </c>
      <c r="D357" s="28" t="s">
        <v>567</v>
      </c>
      <c r="E357" s="28">
        <f>+IFERROR(VLOOKUP(A357,TB31032020!$A$11:$C$415,2,0),0)</f>
        <v>271788</v>
      </c>
      <c r="F357" s="28">
        <v>0</v>
      </c>
      <c r="G357" s="28">
        <f t="shared" si="47"/>
        <v>271788</v>
      </c>
      <c r="H357" s="28">
        <f>+IFERROR(VLOOKUP(A357,TB31032020!$A$11:$C$415,3,0),0)</f>
        <v>0</v>
      </c>
      <c r="I357" s="28">
        <v>0</v>
      </c>
      <c r="J357" s="28">
        <f t="shared" si="48"/>
        <v>0</v>
      </c>
      <c r="K357" s="28">
        <f>+IFERROR(VLOOKUP(A357,TB310320119!$A$11:$C$422,2,0),0)</f>
        <v>271788</v>
      </c>
      <c r="L357" s="28">
        <v>0</v>
      </c>
      <c r="M357" s="28">
        <f t="shared" si="49"/>
        <v>271788</v>
      </c>
      <c r="N357" s="28">
        <f>+IFERROR(VLOOKUP(A357,TB310320119!$A$11:$C$421,3,0),0)</f>
        <v>0</v>
      </c>
      <c r="O357" s="28">
        <v>0</v>
      </c>
      <c r="P357" s="28">
        <f t="shared" si="46"/>
        <v>0</v>
      </c>
      <c r="Q357" s="20">
        <f t="shared" si="50"/>
        <v>1087152</v>
      </c>
    </row>
    <row r="358" spans="1:17" ht="15" customHeight="1">
      <c r="A358" s="33" t="s">
        <v>283</v>
      </c>
      <c r="B358" s="28">
        <v>12</v>
      </c>
      <c r="C358" s="28" t="s">
        <v>566</v>
      </c>
      <c r="D358" s="28" t="s">
        <v>567</v>
      </c>
      <c r="E358" s="28">
        <f>+IFERROR(VLOOKUP(A358,TB31032020!$A$11:$C$415,2,0),0)</f>
        <v>0</v>
      </c>
      <c r="F358" s="28">
        <v>0</v>
      </c>
      <c r="G358" s="28">
        <f t="shared" si="47"/>
        <v>0</v>
      </c>
      <c r="H358" s="28">
        <f>+IFERROR(VLOOKUP(A358,TB31032020!$A$11:$C$415,3,0),0)</f>
        <v>0</v>
      </c>
      <c r="I358" s="28">
        <v>0</v>
      </c>
      <c r="J358" s="28">
        <f t="shared" si="48"/>
        <v>0</v>
      </c>
      <c r="K358" s="28">
        <f>+IFERROR(VLOOKUP(A358,TB310320119!$A$11:$C$422,2,0),0)</f>
        <v>0</v>
      </c>
      <c r="L358" s="28">
        <v>0</v>
      </c>
      <c r="M358" s="28">
        <f t="shared" si="49"/>
        <v>0</v>
      </c>
      <c r="N358" s="28">
        <f>+IFERROR(VLOOKUP(A358,TB310320119!$A$11:$C$421,3,0),0)</f>
        <v>0</v>
      </c>
      <c r="O358" s="28">
        <v>0</v>
      </c>
      <c r="P358" s="28">
        <f t="shared" si="46"/>
        <v>0</v>
      </c>
      <c r="Q358" s="20">
        <f t="shared" si="50"/>
        <v>0</v>
      </c>
    </row>
    <row r="359" spans="1:17" ht="15" customHeight="1">
      <c r="A359" s="33" t="s">
        <v>695</v>
      </c>
      <c r="B359" s="28">
        <v>9</v>
      </c>
      <c r="C359" s="28" t="s">
        <v>627</v>
      </c>
      <c r="D359" s="28" t="s">
        <v>628</v>
      </c>
      <c r="E359" s="28">
        <f>+IFERROR(VLOOKUP(A359,TB31032020!$A$11:$C$415,2,0),0)</f>
        <v>0</v>
      </c>
      <c r="F359" s="28">
        <v>0</v>
      </c>
      <c r="G359" s="28">
        <f t="shared" si="47"/>
        <v>0</v>
      </c>
      <c r="H359" s="28">
        <f>+IFERROR(VLOOKUP(A359,TB31032020!$A$11:$C$415,3,0),0)</f>
        <v>3212027.7</v>
      </c>
      <c r="I359" s="28">
        <v>0</v>
      </c>
      <c r="J359" s="28">
        <f t="shared" si="48"/>
        <v>3212027.7</v>
      </c>
      <c r="K359" s="28">
        <f>+IFERROR(VLOOKUP(A359,TB310320119!$A$11:$C$422,2,0),0)</f>
        <v>0</v>
      </c>
      <c r="L359" s="28">
        <v>0</v>
      </c>
      <c r="M359" s="28">
        <f t="shared" si="49"/>
        <v>0</v>
      </c>
      <c r="N359" s="28">
        <f>+IFERROR(VLOOKUP(A359,TB310320119!$A$11:$C$421,3,0),0)</f>
        <v>3142182.7</v>
      </c>
      <c r="O359" s="28">
        <v>0</v>
      </c>
      <c r="P359" s="28">
        <f t="shared" si="46"/>
        <v>3142182.7</v>
      </c>
      <c r="Q359" s="20">
        <f t="shared" si="50"/>
        <v>12708420.800000001</v>
      </c>
    </row>
    <row r="360" spans="1:17" ht="15" customHeight="1">
      <c r="A360" s="33" t="s">
        <v>289</v>
      </c>
      <c r="B360" s="28">
        <v>12</v>
      </c>
      <c r="C360" s="28" t="s">
        <v>566</v>
      </c>
      <c r="D360" s="47" t="s">
        <v>616</v>
      </c>
      <c r="E360" s="28">
        <f>+IFERROR(VLOOKUP(A360,TB31032020!$A$11:$C$415,2,0),0)</f>
        <v>12216191</v>
      </c>
      <c r="F360" s="28">
        <v>0</v>
      </c>
      <c r="G360" s="28">
        <f t="shared" si="47"/>
        <v>12216191</v>
      </c>
      <c r="H360" s="28">
        <f>+IFERROR(VLOOKUP(A360,TB31032020!$A$11:$C$415,3,0),0)</f>
        <v>0</v>
      </c>
      <c r="I360" s="28">
        <v>0</v>
      </c>
      <c r="J360" s="28">
        <f t="shared" si="48"/>
        <v>0</v>
      </c>
      <c r="K360" s="28">
        <f>+IFERROR(VLOOKUP(A360,TB310320119!$A$11:$C$422,2,0),0)</f>
        <v>10799666</v>
      </c>
      <c r="L360" s="28">
        <v>0</v>
      </c>
      <c r="M360" s="28">
        <f t="shared" si="49"/>
        <v>10799666</v>
      </c>
      <c r="N360" s="28">
        <f>+IFERROR(VLOOKUP(A360,TB310320119!$A$11:$C$421,3,0),0)</f>
        <v>0</v>
      </c>
      <c r="O360" s="28">
        <v>0</v>
      </c>
      <c r="P360" s="28">
        <f t="shared" si="46"/>
        <v>0</v>
      </c>
      <c r="Q360" s="20">
        <f t="shared" si="50"/>
        <v>46031714</v>
      </c>
    </row>
    <row r="361" spans="1:17" ht="15" customHeight="1">
      <c r="A361" s="40" t="s">
        <v>497</v>
      </c>
      <c r="B361" s="28">
        <v>7</v>
      </c>
      <c r="C361" s="28" t="s">
        <v>561</v>
      </c>
      <c r="D361" s="28" t="s">
        <v>561</v>
      </c>
      <c r="E361" s="28">
        <f>+IFERROR(VLOOKUP(A361,TB31032020!$A$11:$C$415,2,0),0)</f>
        <v>0</v>
      </c>
      <c r="F361" s="28">
        <v>0</v>
      </c>
      <c r="G361" s="28">
        <f t="shared" si="47"/>
        <v>0</v>
      </c>
      <c r="H361" s="28">
        <f>+IFERROR(VLOOKUP(A361,TB31032020!$A$11:$C$415,3,0),0)</f>
        <v>0</v>
      </c>
      <c r="I361" s="28">
        <v>0</v>
      </c>
      <c r="J361" s="28">
        <f t="shared" si="48"/>
        <v>0</v>
      </c>
      <c r="K361" s="28">
        <f>+IFERROR(VLOOKUP(A361,TB310320119!$A$11:$C$422,2,0),0)</f>
        <v>0</v>
      </c>
      <c r="L361" s="28">
        <v>0</v>
      </c>
      <c r="M361" s="28">
        <f t="shared" si="49"/>
        <v>0</v>
      </c>
      <c r="N361" s="28">
        <f>+IFERROR(VLOOKUP(A361,TB310320119!$A$11:$C$421,3,0),0)</f>
        <v>83195</v>
      </c>
      <c r="O361" s="28">
        <v>0</v>
      </c>
      <c r="P361" s="28">
        <f t="shared" si="46"/>
        <v>83195</v>
      </c>
      <c r="Q361" s="20">
        <f t="shared" si="50"/>
        <v>166390</v>
      </c>
    </row>
    <row r="362" spans="1:17" ht="15" customHeight="1">
      <c r="A362" s="40" t="s">
        <v>696</v>
      </c>
      <c r="B362" s="28">
        <v>7</v>
      </c>
      <c r="C362" s="28" t="s">
        <v>561</v>
      </c>
      <c r="D362" s="28" t="s">
        <v>561</v>
      </c>
      <c r="E362" s="28">
        <f>+IFERROR(VLOOKUP(A362,TB31032020!$A$11:$C$415,2,0),0)</f>
        <v>0</v>
      </c>
      <c r="F362" s="28">
        <v>0</v>
      </c>
      <c r="G362" s="28">
        <f t="shared" si="47"/>
        <v>0</v>
      </c>
      <c r="H362" s="28">
        <f>+IFERROR(VLOOKUP(A362,TB31032020!$A$11:$C$415,3,0),0)</f>
        <v>26432</v>
      </c>
      <c r="I362" s="28">
        <v>0</v>
      </c>
      <c r="J362" s="28">
        <f t="shared" si="48"/>
        <v>26432</v>
      </c>
      <c r="K362" s="28">
        <f>+IFERROR(VLOOKUP(A362,TB310320119!$A$11:$C$422,2,0),0)</f>
        <v>0</v>
      </c>
      <c r="L362" s="28">
        <v>0</v>
      </c>
      <c r="M362" s="28">
        <f t="shared" si="49"/>
        <v>0</v>
      </c>
      <c r="N362" s="28">
        <f>+IFERROR(VLOOKUP(A362,TB310320119!$A$11:$C$421,3,0),0)</f>
        <v>49210</v>
      </c>
      <c r="O362" s="28">
        <v>0</v>
      </c>
      <c r="P362" s="28">
        <f t="shared" si="46"/>
        <v>49210</v>
      </c>
      <c r="Q362" s="20">
        <f t="shared" si="50"/>
        <v>151284</v>
      </c>
    </row>
    <row r="363" spans="1:17" ht="15" customHeight="1">
      <c r="A363" s="33" t="s">
        <v>291</v>
      </c>
      <c r="B363" s="28">
        <v>22</v>
      </c>
      <c r="C363" s="28" t="s">
        <v>581</v>
      </c>
      <c r="D363" s="28" t="s">
        <v>582</v>
      </c>
      <c r="E363" s="28">
        <f>+IFERROR(VLOOKUP(A363,TB31032020!$A$11:$C$415,2,0),0)</f>
        <v>610238</v>
      </c>
      <c r="F363" s="28">
        <v>0</v>
      </c>
      <c r="G363" s="28">
        <f t="shared" si="47"/>
        <v>610238</v>
      </c>
      <c r="H363" s="28">
        <f>+IFERROR(VLOOKUP(A363,TB31032020!$A$11:$C$415,3,0),0)</f>
        <v>0</v>
      </c>
      <c r="I363" s="28">
        <v>0</v>
      </c>
      <c r="J363" s="28">
        <f t="shared" si="48"/>
        <v>0</v>
      </c>
      <c r="K363" s="28">
        <f>+IFERROR(VLOOKUP(A363,TB310320119!$A$11:$C$422,2,0),0)</f>
        <v>2499845</v>
      </c>
      <c r="L363" s="28">
        <v>0</v>
      </c>
      <c r="M363" s="28">
        <f t="shared" si="49"/>
        <v>2499845</v>
      </c>
      <c r="N363" s="28">
        <f>+IFERROR(VLOOKUP(A363,TB310320119!$A$11:$C$421,3,0),0)</f>
        <v>0</v>
      </c>
      <c r="O363" s="28">
        <v>0</v>
      </c>
      <c r="P363" s="28">
        <f t="shared" si="46"/>
        <v>0</v>
      </c>
      <c r="Q363" s="20">
        <f t="shared" si="50"/>
        <v>6220166</v>
      </c>
    </row>
    <row r="364" spans="1:17" ht="15" customHeight="1">
      <c r="A364" s="33" t="s">
        <v>292</v>
      </c>
      <c r="B364" s="28">
        <v>26</v>
      </c>
      <c r="C364" s="28" t="s">
        <v>568</v>
      </c>
      <c r="D364" s="28" t="s">
        <v>605</v>
      </c>
      <c r="E364" s="28">
        <f>+IFERROR(VLOOKUP(A364,TB31032020!$A$11:$C$415,2,0),0)</f>
        <v>9875204.9800000004</v>
      </c>
      <c r="F364" s="28">
        <v>0</v>
      </c>
      <c r="G364" s="28">
        <f t="shared" si="47"/>
        <v>9875204.9800000004</v>
      </c>
      <c r="H364" s="28">
        <f>+IFERROR(VLOOKUP(A364,TB31032020!$A$11:$C$415,3,0),0)</f>
        <v>0</v>
      </c>
      <c r="I364" s="28">
        <v>0</v>
      </c>
      <c r="J364" s="28">
        <f t="shared" si="48"/>
        <v>0</v>
      </c>
      <c r="K364" s="28">
        <f>+IFERROR(VLOOKUP(A364,TB310320119!$A$11:$C$422,2,0),0)</f>
        <v>7296726</v>
      </c>
      <c r="L364" s="28">
        <v>0</v>
      </c>
      <c r="M364" s="28">
        <f t="shared" si="49"/>
        <v>7296726</v>
      </c>
      <c r="N364" s="28">
        <f>+IFERROR(VLOOKUP(A364,TB310320119!$A$11:$C$421,3,0),0)</f>
        <v>0</v>
      </c>
      <c r="O364" s="28">
        <v>0</v>
      </c>
      <c r="P364" s="28">
        <f t="shared" si="46"/>
        <v>0</v>
      </c>
      <c r="Q364" s="20">
        <f t="shared" si="50"/>
        <v>34343861.960000001</v>
      </c>
    </row>
    <row r="365" spans="1:17" ht="15" customHeight="1">
      <c r="A365" s="33" t="s">
        <v>697</v>
      </c>
      <c r="B365" s="28">
        <v>22</v>
      </c>
      <c r="C365" s="28" t="s">
        <v>581</v>
      </c>
      <c r="D365" s="28" t="s">
        <v>582</v>
      </c>
      <c r="E365" s="28">
        <f>+IFERROR(VLOOKUP(A365,TB31032020!$A$11:$C$415,2,0),0)</f>
        <v>570000</v>
      </c>
      <c r="F365" s="28">
        <v>0</v>
      </c>
      <c r="G365" s="28">
        <f t="shared" si="47"/>
        <v>570000</v>
      </c>
      <c r="H365" s="28">
        <f>+IFERROR(VLOOKUP(A365,TB31032020!$A$11:$C$415,3,0),0)</f>
        <v>0</v>
      </c>
      <c r="I365" s="28">
        <v>0</v>
      </c>
      <c r="J365" s="28">
        <f t="shared" si="48"/>
        <v>0</v>
      </c>
      <c r="K365" s="28">
        <f>+IFERROR(VLOOKUP(A365,TB310320119!$A$11:$C$422,2,0),0)</f>
        <v>5508.97</v>
      </c>
      <c r="L365" s="28">
        <v>0</v>
      </c>
      <c r="M365" s="28">
        <f t="shared" si="49"/>
        <v>5508.97</v>
      </c>
      <c r="N365" s="28">
        <f>+IFERROR(VLOOKUP(A365,TB310320119!$A$11:$C$421,3,0),0)</f>
        <v>0</v>
      </c>
      <c r="O365" s="28">
        <v>0</v>
      </c>
      <c r="P365" s="28">
        <f t="shared" si="46"/>
        <v>0</v>
      </c>
      <c r="Q365" s="20">
        <f t="shared" si="50"/>
        <v>1151017.94</v>
      </c>
    </row>
    <row r="366" spans="1:17" ht="15" customHeight="1">
      <c r="A366" s="33" t="s">
        <v>498</v>
      </c>
      <c r="B366" s="28">
        <v>26</v>
      </c>
      <c r="C366" s="28" t="s">
        <v>568</v>
      </c>
      <c r="D366" s="28" t="s">
        <v>583</v>
      </c>
      <c r="E366" s="28">
        <f>+IFERROR(VLOOKUP(A366,TB31032020!$A$11:$C$415,2,0),0)</f>
        <v>0</v>
      </c>
      <c r="F366" s="28">
        <v>0</v>
      </c>
      <c r="G366" s="28">
        <f t="shared" si="47"/>
        <v>0</v>
      </c>
      <c r="H366" s="28">
        <f>+IFERROR(VLOOKUP(A366,TB31032020!$A$11:$C$415,3,0),0)</f>
        <v>0</v>
      </c>
      <c r="I366" s="28">
        <v>0</v>
      </c>
      <c r="J366" s="28">
        <f t="shared" si="48"/>
        <v>0</v>
      </c>
      <c r="K366" s="28">
        <f>+IFERROR(VLOOKUP(A366,TB310320119!$A$11:$C$422,2,0),0)</f>
        <v>2736</v>
      </c>
      <c r="L366" s="28">
        <v>0</v>
      </c>
      <c r="M366" s="28">
        <f t="shared" si="49"/>
        <v>2736</v>
      </c>
      <c r="N366" s="28">
        <f>+IFERROR(VLOOKUP(A366,TB310320119!$A$11:$C$421,3,0),0)</f>
        <v>0</v>
      </c>
      <c r="O366" s="28">
        <v>0</v>
      </c>
      <c r="P366" s="28">
        <f t="shared" ref="P366:P432" si="57">N366+O366</f>
        <v>0</v>
      </c>
      <c r="Q366" s="20">
        <f t="shared" si="50"/>
        <v>5472</v>
      </c>
    </row>
    <row r="367" spans="1:17" ht="15" customHeight="1">
      <c r="A367" s="33" t="s">
        <v>294</v>
      </c>
      <c r="B367" s="28">
        <v>22</v>
      </c>
      <c r="C367" s="28" t="s">
        <v>581</v>
      </c>
      <c r="D367" s="28" t="s">
        <v>582</v>
      </c>
      <c r="E367" s="28">
        <f>+IFERROR(VLOOKUP(A367,TB31032020!$A$11:$C$415,2,0),0)</f>
        <v>107000</v>
      </c>
      <c r="F367" s="28">
        <v>0</v>
      </c>
      <c r="G367" s="28">
        <f t="shared" si="47"/>
        <v>107000</v>
      </c>
      <c r="H367" s="28">
        <f>+IFERROR(VLOOKUP(A367,TB31032020!$A$11:$C$415,3,0),0)</f>
        <v>0</v>
      </c>
      <c r="I367" s="28">
        <v>0</v>
      </c>
      <c r="J367" s="28">
        <f t="shared" si="48"/>
        <v>0</v>
      </c>
      <c r="K367" s="28">
        <f>+IFERROR(VLOOKUP(A367,TB310320119!$A$11:$C$422,2,0),0)</f>
        <v>2400</v>
      </c>
      <c r="L367" s="28">
        <v>0</v>
      </c>
      <c r="M367" s="28">
        <f t="shared" si="49"/>
        <v>2400</v>
      </c>
      <c r="N367" s="28">
        <f>+IFERROR(VLOOKUP(A367,TB310320119!$A$11:$C$421,3,0),0)</f>
        <v>0</v>
      </c>
      <c r="O367" s="28">
        <v>0</v>
      </c>
      <c r="P367" s="28">
        <f t="shared" si="57"/>
        <v>0</v>
      </c>
      <c r="Q367" s="20">
        <f t="shared" si="50"/>
        <v>218800</v>
      </c>
    </row>
    <row r="368" spans="1:17" ht="15" customHeight="1">
      <c r="A368" s="33" t="s">
        <v>499</v>
      </c>
      <c r="B368" s="28">
        <v>22</v>
      </c>
      <c r="C368" s="28" t="s">
        <v>581</v>
      </c>
      <c r="D368" s="28" t="s">
        <v>582</v>
      </c>
      <c r="E368" s="28">
        <f>+IFERROR(VLOOKUP(A368,TB31032020!$A$11:$C$415,2,0),0)</f>
        <v>741466</v>
      </c>
      <c r="F368" s="28">
        <v>0</v>
      </c>
      <c r="G368" s="28">
        <f t="shared" si="47"/>
        <v>741466</v>
      </c>
      <c r="H368" s="28">
        <f>+IFERROR(VLOOKUP(A368,TB31032020!$A$11:$C$415,3,0),0)</f>
        <v>0</v>
      </c>
      <c r="I368" s="28">
        <v>0</v>
      </c>
      <c r="J368" s="28">
        <f t="shared" si="48"/>
        <v>0</v>
      </c>
      <c r="K368" s="28">
        <f>+IFERROR(VLOOKUP(A368,TB310320119!$A$11:$C$422,2,0),0)</f>
        <v>4142911</v>
      </c>
      <c r="L368" s="28">
        <v>0</v>
      </c>
      <c r="M368" s="28">
        <f t="shared" si="49"/>
        <v>4142911</v>
      </c>
      <c r="N368" s="28">
        <f>+IFERROR(VLOOKUP(A368,TB310320119!$A$11:$C$421,3,0),0)</f>
        <v>0</v>
      </c>
      <c r="O368" s="28">
        <v>0</v>
      </c>
      <c r="P368" s="28">
        <f t="shared" si="57"/>
        <v>0</v>
      </c>
      <c r="Q368" s="20">
        <f t="shared" si="50"/>
        <v>9768754</v>
      </c>
    </row>
    <row r="369" spans="1:17" ht="15" customHeight="1">
      <c r="A369" s="33" t="s">
        <v>698</v>
      </c>
      <c r="B369" s="28">
        <v>26</v>
      </c>
      <c r="C369" s="28" t="s">
        <v>568</v>
      </c>
      <c r="D369" s="28" t="s">
        <v>615</v>
      </c>
      <c r="E369" s="28">
        <f>+IFERROR(VLOOKUP(A369,TB31032020!$A$11:$C$415,2,0),0)</f>
        <v>9155866.8599999994</v>
      </c>
      <c r="F369" s="28">
        <v>0</v>
      </c>
      <c r="G369" s="28">
        <f t="shared" si="47"/>
        <v>9155866.8599999994</v>
      </c>
      <c r="H369" s="28">
        <f>+IFERROR(VLOOKUP(A369,TB31032020!$A$11:$C$415,3,0),0)</f>
        <v>0</v>
      </c>
      <c r="I369" s="28">
        <v>0</v>
      </c>
      <c r="J369" s="28">
        <f t="shared" si="48"/>
        <v>0</v>
      </c>
      <c r="K369" s="28">
        <f>+IFERROR(VLOOKUP(A369,TB310320119!$A$11:$C$422,2,0),0)</f>
        <v>8891025.9000000004</v>
      </c>
      <c r="L369" s="28">
        <v>0</v>
      </c>
      <c r="M369" s="28">
        <f t="shared" si="49"/>
        <v>8891025.9000000004</v>
      </c>
      <c r="N369" s="28">
        <f>+IFERROR(VLOOKUP(A369,TB310320119!$A$11:$C$421,3,0),0)</f>
        <v>0</v>
      </c>
      <c r="O369" s="28">
        <v>0</v>
      </c>
      <c r="P369" s="28">
        <f t="shared" si="57"/>
        <v>0</v>
      </c>
      <c r="Q369" s="20">
        <f t="shared" si="50"/>
        <v>36093785.519999996</v>
      </c>
    </row>
    <row r="370" spans="1:17" ht="15" customHeight="1">
      <c r="A370" s="30" t="s">
        <v>317</v>
      </c>
      <c r="B370" s="28">
        <v>7</v>
      </c>
      <c r="C370" s="28" t="s">
        <v>561</v>
      </c>
      <c r="D370" s="28" t="s">
        <v>562</v>
      </c>
      <c r="E370" s="28">
        <f>+IFERROR(VLOOKUP(A370,TB31032020!$A$11:$C$415,2,0),0)</f>
        <v>5079</v>
      </c>
      <c r="F370" s="28">
        <v>0</v>
      </c>
      <c r="G370" s="28">
        <f t="shared" si="47"/>
        <v>5079</v>
      </c>
      <c r="H370" s="28">
        <f>+IFERROR(VLOOKUP(A370,TB31032020!$A$11:$C$415,3,0),0)</f>
        <v>0</v>
      </c>
      <c r="I370" s="28">
        <v>0</v>
      </c>
      <c r="J370" s="28">
        <f t="shared" si="48"/>
        <v>0</v>
      </c>
      <c r="K370" s="28">
        <f>+IFERROR(VLOOKUP(A370,TB310320119!$A$11:$C$422,2,0),0)</f>
        <v>0</v>
      </c>
      <c r="L370" s="28">
        <v>0</v>
      </c>
      <c r="M370" s="28">
        <f t="shared" si="49"/>
        <v>0</v>
      </c>
      <c r="N370" s="28">
        <f>+IFERROR(VLOOKUP(A370,TB310320119!$A$11:$C$421,3,0),0)</f>
        <v>0</v>
      </c>
      <c r="O370" s="28">
        <v>0</v>
      </c>
      <c r="P370" s="28">
        <f t="shared" si="57"/>
        <v>0</v>
      </c>
      <c r="Q370" s="20">
        <f t="shared" si="50"/>
        <v>10158</v>
      </c>
    </row>
    <row r="371" spans="1:17" ht="15" customHeight="1">
      <c r="A371" s="33" t="s">
        <v>504</v>
      </c>
      <c r="B371" s="37">
        <v>8</v>
      </c>
      <c r="C371" s="37" t="s">
        <v>585</v>
      </c>
      <c r="D371" s="37" t="s">
        <v>586</v>
      </c>
      <c r="E371" s="28">
        <f>+IFERROR(VLOOKUP(A371,TB31032020!$A$11:$C$415,2,0),0)</f>
        <v>0</v>
      </c>
      <c r="F371" s="28">
        <v>0</v>
      </c>
      <c r="G371" s="28">
        <f t="shared" si="47"/>
        <v>0</v>
      </c>
      <c r="H371" s="28">
        <f>+IFERROR(VLOOKUP(A371,TB31032020!$A$11:$C$415,3,0),0)</f>
        <v>0</v>
      </c>
      <c r="I371" s="28">
        <v>0</v>
      </c>
      <c r="J371" s="28">
        <f t="shared" si="48"/>
        <v>0</v>
      </c>
      <c r="K371" s="28">
        <f>+IFERROR(VLOOKUP(A371,TB310320119!$A$11:$C$422,2,0),0)</f>
        <v>0</v>
      </c>
      <c r="L371" s="28">
        <v>0</v>
      </c>
      <c r="M371" s="28">
        <f t="shared" si="49"/>
        <v>0</v>
      </c>
      <c r="N371" s="28">
        <f>+IFERROR(VLOOKUP(A371,TB310320119!$A$11:$C$421,3,0),0)</f>
        <v>9980</v>
      </c>
      <c r="O371" s="28">
        <v>0</v>
      </c>
      <c r="P371" s="28">
        <f t="shared" si="57"/>
        <v>9980</v>
      </c>
      <c r="Q371" s="20">
        <f t="shared" si="50"/>
        <v>19960</v>
      </c>
    </row>
    <row r="372" spans="1:17" ht="15" customHeight="1">
      <c r="A372" s="36" t="s">
        <v>298</v>
      </c>
      <c r="B372" s="28">
        <v>15</v>
      </c>
      <c r="C372" s="28" t="s">
        <v>563</v>
      </c>
      <c r="D372" s="28" t="s">
        <v>564</v>
      </c>
      <c r="E372" s="28">
        <f>+IFERROR(VLOOKUP(A372,TB31032020!$A$11:$C$415,2,0),0)</f>
        <v>553617</v>
      </c>
      <c r="F372" s="28">
        <v>0</v>
      </c>
      <c r="G372" s="28">
        <f t="shared" si="47"/>
        <v>553617</v>
      </c>
      <c r="H372" s="28">
        <f>+IFERROR(VLOOKUP(A372,TB31032020!$A$11:$C$415,3,0),0)</f>
        <v>0</v>
      </c>
      <c r="I372" s="28">
        <v>0</v>
      </c>
      <c r="J372" s="28">
        <f t="shared" si="48"/>
        <v>0</v>
      </c>
      <c r="K372" s="28">
        <f>+IFERROR(VLOOKUP(A372,TB310320119!$A$11:$C$422,2,0),0)</f>
        <v>0</v>
      </c>
      <c r="L372" s="28">
        <v>0</v>
      </c>
      <c r="M372" s="28">
        <f t="shared" si="49"/>
        <v>0</v>
      </c>
      <c r="N372" s="28">
        <f>+IFERROR(VLOOKUP(A372,TB310320119!$A$11:$C$421,3,0),0)</f>
        <v>0</v>
      </c>
      <c r="O372" s="28">
        <v>0</v>
      </c>
      <c r="P372" s="28">
        <f t="shared" si="57"/>
        <v>0</v>
      </c>
      <c r="Q372" s="20">
        <f t="shared" si="50"/>
        <v>1107234</v>
      </c>
    </row>
    <row r="373" spans="1:17" ht="15" customHeight="1">
      <c r="A373" s="34" t="s">
        <v>302</v>
      </c>
      <c r="B373" s="28">
        <v>15</v>
      </c>
      <c r="C373" s="28" t="s">
        <v>563</v>
      </c>
      <c r="D373" s="28" t="s">
        <v>564</v>
      </c>
      <c r="E373" s="28">
        <f>+IFERROR(VLOOKUP(A373,TB31032020!$A$11:$C$415,2,0),0)</f>
        <v>2558371</v>
      </c>
      <c r="F373" s="28">
        <v>0</v>
      </c>
      <c r="G373" s="28">
        <f t="shared" si="47"/>
        <v>2558371</v>
      </c>
      <c r="H373" s="28">
        <f>+IFERROR(VLOOKUP(A373,TB31032020!$A$11:$C$415,3,0),0)</f>
        <v>0</v>
      </c>
      <c r="I373" s="28">
        <v>0</v>
      </c>
      <c r="J373" s="28">
        <f t="shared" si="48"/>
        <v>0</v>
      </c>
      <c r="K373" s="28">
        <f>+IFERROR(VLOOKUP(A373,TB310320119!$A$11:$C$422,2,0),0)</f>
        <v>0</v>
      </c>
      <c r="L373" s="28">
        <v>0</v>
      </c>
      <c r="M373" s="28">
        <f t="shared" si="49"/>
        <v>0</v>
      </c>
      <c r="N373" s="28">
        <f>+IFERROR(VLOOKUP(A373,TB310320119!$A$11:$C$421,3,0),0)</f>
        <v>0</v>
      </c>
      <c r="O373" s="28">
        <v>0</v>
      </c>
      <c r="P373" s="28">
        <f t="shared" si="57"/>
        <v>0</v>
      </c>
      <c r="Q373" s="20">
        <f t="shared" si="50"/>
        <v>5116742</v>
      </c>
    </row>
    <row r="374" spans="1:17" ht="15" customHeight="1">
      <c r="A374" s="33" t="s">
        <v>699</v>
      </c>
      <c r="B374" s="28">
        <v>15</v>
      </c>
      <c r="C374" s="28" t="s">
        <v>563</v>
      </c>
      <c r="D374" s="28" t="s">
        <v>564</v>
      </c>
      <c r="E374" s="28">
        <f>+IFERROR(VLOOKUP(A374,TB31032020!$A$11:$C$415,2,0),0)</f>
        <v>22988933</v>
      </c>
      <c r="F374" s="28">
        <v>0</v>
      </c>
      <c r="G374" s="28">
        <f t="shared" si="47"/>
        <v>22988933</v>
      </c>
      <c r="H374" s="28">
        <f>+IFERROR(VLOOKUP(A374,TB31032020!$A$11:$C$415,3,0),0)</f>
        <v>0</v>
      </c>
      <c r="I374" s="28">
        <v>0</v>
      </c>
      <c r="J374" s="28">
        <f t="shared" si="48"/>
        <v>0</v>
      </c>
      <c r="K374" s="28">
        <f>+IFERROR(VLOOKUP(A374,TB310320119!$A$11:$C$422,2,0),0)</f>
        <v>20109440</v>
      </c>
      <c r="L374" s="28">
        <v>0</v>
      </c>
      <c r="M374" s="28">
        <f t="shared" si="49"/>
        <v>20109440</v>
      </c>
      <c r="N374" s="28">
        <f>+IFERROR(VLOOKUP(A374,TB310320119!$A$11:$C$421,3,0),0)</f>
        <v>0</v>
      </c>
      <c r="O374" s="28">
        <v>0</v>
      </c>
      <c r="P374" s="28">
        <f t="shared" si="57"/>
        <v>0</v>
      </c>
      <c r="Q374" s="20">
        <f t="shared" si="50"/>
        <v>86196746</v>
      </c>
    </row>
    <row r="375" spans="1:17" ht="15" customHeight="1">
      <c r="A375" s="33" t="s">
        <v>296</v>
      </c>
      <c r="B375" s="28">
        <v>7</v>
      </c>
      <c r="C375" s="28" t="s">
        <v>561</v>
      </c>
      <c r="D375" s="28" t="s">
        <v>561</v>
      </c>
      <c r="E375" s="28">
        <f>+IFERROR(VLOOKUP(A375,TB31032020!$A$11:$C$415,2,0),0)</f>
        <v>0</v>
      </c>
      <c r="F375" s="28">
        <v>0</v>
      </c>
      <c r="G375" s="28">
        <f t="shared" si="47"/>
        <v>0</v>
      </c>
      <c r="H375" s="28">
        <f>+IFERROR(VLOOKUP(A375,TB31032020!$A$11:$C$415,3,0),0)</f>
        <v>8142548</v>
      </c>
      <c r="I375" s="28">
        <v>0</v>
      </c>
      <c r="J375" s="28">
        <f t="shared" si="48"/>
        <v>8142548</v>
      </c>
      <c r="K375" s="28">
        <f>+IFERROR(VLOOKUP(A375,TB310320119!$A$11:$C$422,2,0),0)</f>
        <v>0</v>
      </c>
      <c r="L375" s="28">
        <v>0</v>
      </c>
      <c r="M375" s="28">
        <f t="shared" si="49"/>
        <v>0</v>
      </c>
      <c r="N375" s="28">
        <f>+IFERROR(VLOOKUP(A375,TB310320119!$A$11:$C$421,3,0),0)</f>
        <v>6496829.5</v>
      </c>
      <c r="O375" s="28">
        <v>0</v>
      </c>
      <c r="P375" s="28">
        <f t="shared" si="57"/>
        <v>6496829.5</v>
      </c>
      <c r="Q375" s="20">
        <f t="shared" si="50"/>
        <v>29278755</v>
      </c>
    </row>
    <row r="376" spans="1:17" ht="15" customHeight="1">
      <c r="A376" s="40" t="s">
        <v>500</v>
      </c>
      <c r="B376" s="28">
        <v>12</v>
      </c>
      <c r="C376" s="28" t="s">
        <v>566</v>
      </c>
      <c r="D376" s="28" t="s">
        <v>634</v>
      </c>
      <c r="E376" s="28">
        <f>+IFERROR(VLOOKUP(A376,TB31032020!$A$11:$C$415,2,0),0)</f>
        <v>0</v>
      </c>
      <c r="F376" s="28">
        <v>0</v>
      </c>
      <c r="G376" s="28">
        <f t="shared" si="47"/>
        <v>0</v>
      </c>
      <c r="H376" s="28">
        <f>+IFERROR(VLOOKUP(A376,TB31032020!$A$11:$C$415,3,0),0)</f>
        <v>0</v>
      </c>
      <c r="I376" s="28">
        <v>0</v>
      </c>
      <c r="J376" s="28">
        <f t="shared" si="48"/>
        <v>0</v>
      </c>
      <c r="K376" s="28">
        <f>+IFERROR(VLOOKUP(A376,TB310320119!$A$11:$C$422,2,0),0)</f>
        <v>3000</v>
      </c>
      <c r="L376" s="28">
        <v>0</v>
      </c>
      <c r="M376" s="28">
        <f t="shared" si="49"/>
        <v>3000</v>
      </c>
      <c r="N376" s="28">
        <f>+IFERROR(VLOOKUP(A376,TB310320119!$A$11:$C$421,3,0),0)</f>
        <v>0</v>
      </c>
      <c r="O376" s="28">
        <v>0</v>
      </c>
      <c r="P376" s="28">
        <f t="shared" si="57"/>
        <v>0</v>
      </c>
      <c r="Q376" s="20">
        <f t="shared" si="50"/>
        <v>6000</v>
      </c>
    </row>
    <row r="377" spans="1:17" ht="15" customHeight="1">
      <c r="A377" s="33" t="s">
        <v>700</v>
      </c>
      <c r="B377" s="28">
        <v>7</v>
      </c>
      <c r="C377" s="28" t="s">
        <v>561</v>
      </c>
      <c r="D377" s="28" t="s">
        <v>561</v>
      </c>
      <c r="E377" s="28">
        <f>+IFERROR(VLOOKUP(A377,TB31032020!$A$11:$C$415,2,0),0)</f>
        <v>0</v>
      </c>
      <c r="F377" s="28">
        <v>0</v>
      </c>
      <c r="G377" s="28">
        <f t="shared" si="47"/>
        <v>0</v>
      </c>
      <c r="H377" s="28">
        <f>+IFERROR(VLOOKUP(A377,TB31032020!$A$11:$C$415,3,0),0)</f>
        <v>1495</v>
      </c>
      <c r="I377" s="28">
        <v>0</v>
      </c>
      <c r="J377" s="28">
        <f t="shared" si="48"/>
        <v>1495</v>
      </c>
      <c r="K377" s="28">
        <f>+IFERROR(VLOOKUP(A377,TB310320119!$A$11:$C$422,2,0),0)</f>
        <v>0</v>
      </c>
      <c r="L377" s="28">
        <v>0</v>
      </c>
      <c r="M377" s="28">
        <f t="shared" si="49"/>
        <v>0</v>
      </c>
      <c r="N377" s="28">
        <f>+IFERROR(VLOOKUP(A377,TB310320119!$A$11:$C$421,3,0),0)</f>
        <v>1495</v>
      </c>
      <c r="O377" s="28">
        <v>0</v>
      </c>
      <c r="P377" s="28">
        <f t="shared" si="57"/>
        <v>1495</v>
      </c>
      <c r="Q377" s="20">
        <f t="shared" si="50"/>
        <v>5980</v>
      </c>
    </row>
    <row r="378" spans="1:17" ht="15" customHeight="1">
      <c r="A378" s="34" t="s">
        <v>501</v>
      </c>
      <c r="B378" s="28">
        <v>7</v>
      </c>
      <c r="C378" s="28" t="s">
        <v>561</v>
      </c>
      <c r="D378" s="28" t="s">
        <v>561</v>
      </c>
      <c r="E378" s="28">
        <f>+IFERROR(VLOOKUP(A378,TB31032020!$A$11:$C$415,2,0),0)</f>
        <v>0</v>
      </c>
      <c r="F378" s="28">
        <v>0</v>
      </c>
      <c r="G378" s="28">
        <f t="shared" si="47"/>
        <v>0</v>
      </c>
      <c r="H378" s="28">
        <f>+IFERROR(VLOOKUP(A378,TB31032020!$A$11:$C$415,3,0),0)</f>
        <v>0</v>
      </c>
      <c r="I378" s="28">
        <v>0</v>
      </c>
      <c r="J378" s="28">
        <f t="shared" si="48"/>
        <v>0</v>
      </c>
      <c r="K378" s="28">
        <f>+IFERROR(VLOOKUP(A378,TB310320119!$A$11:$C$422,2,0),0)</f>
        <v>0</v>
      </c>
      <c r="L378" s="28">
        <v>0</v>
      </c>
      <c r="M378" s="28">
        <f t="shared" si="49"/>
        <v>0</v>
      </c>
      <c r="N378" s="28">
        <f>+IFERROR(VLOOKUP(A378,TB310320119!$A$11:$C$421,3,0),0)</f>
        <v>51975</v>
      </c>
      <c r="O378" s="28">
        <v>0</v>
      </c>
      <c r="P378" s="28">
        <f t="shared" si="57"/>
        <v>51975</v>
      </c>
      <c r="Q378" s="20">
        <f t="shared" si="50"/>
        <v>103950</v>
      </c>
    </row>
    <row r="379" spans="1:17" ht="15" customHeight="1">
      <c r="A379" s="29" t="s">
        <v>502</v>
      </c>
      <c r="B379" s="28">
        <v>26</v>
      </c>
      <c r="C379" s="28" t="s">
        <v>568</v>
      </c>
      <c r="D379" s="28" t="s">
        <v>605</v>
      </c>
      <c r="E379" s="28">
        <f>+IFERROR(VLOOKUP(A379,TB31032020!$A$11:$C$415,2,0),0)</f>
        <v>0</v>
      </c>
      <c r="F379" s="28">
        <v>0</v>
      </c>
      <c r="G379" s="28">
        <f t="shared" si="47"/>
        <v>0</v>
      </c>
      <c r="H379" s="28">
        <f>+IFERROR(VLOOKUP(A379,TB31032020!$A$11:$C$415,3,0),0)</f>
        <v>0</v>
      </c>
      <c r="I379" s="28">
        <v>0</v>
      </c>
      <c r="J379" s="28">
        <f t="shared" si="48"/>
        <v>0</v>
      </c>
      <c r="K379" s="28">
        <f>+IFERROR(VLOOKUP(A379,TB310320119!$A$11:$C$422,2,0),0)</f>
        <v>0</v>
      </c>
      <c r="L379" s="28">
        <v>0</v>
      </c>
      <c r="M379" s="28">
        <f t="shared" si="49"/>
        <v>0</v>
      </c>
      <c r="N379" s="28">
        <f>+IFERROR(VLOOKUP(A379,TB310320119!$A$11:$C$421,3,0),0)</f>
        <v>38712</v>
      </c>
      <c r="O379" s="28">
        <v>0</v>
      </c>
      <c r="P379" s="28">
        <f t="shared" si="57"/>
        <v>38712</v>
      </c>
      <c r="Q379" s="20">
        <f t="shared" si="50"/>
        <v>77424</v>
      </c>
    </row>
    <row r="380" spans="1:17" ht="15" customHeight="1">
      <c r="A380" s="33" t="s">
        <v>299</v>
      </c>
      <c r="B380" s="28">
        <v>26</v>
      </c>
      <c r="C380" s="28" t="s">
        <v>568</v>
      </c>
      <c r="D380" s="28" t="s">
        <v>569</v>
      </c>
      <c r="E380" s="28">
        <f>+IFERROR(VLOOKUP(A380,TB31032020!$A$11:$C$415,2,0),0)</f>
        <v>154260</v>
      </c>
      <c r="F380" s="28">
        <v>0</v>
      </c>
      <c r="G380" s="28">
        <f t="shared" si="47"/>
        <v>154260</v>
      </c>
      <c r="H380" s="28">
        <f>+IFERROR(VLOOKUP(A380,TB31032020!$A$11:$C$415,3,0),0)</f>
        <v>0</v>
      </c>
      <c r="I380" s="28">
        <v>0</v>
      </c>
      <c r="J380" s="28">
        <f t="shared" si="48"/>
        <v>0</v>
      </c>
      <c r="K380" s="28">
        <f>+IFERROR(VLOOKUP(A380,TB310320119!$A$11:$C$422,2,0),0)</f>
        <v>154717</v>
      </c>
      <c r="L380" s="28">
        <v>0</v>
      </c>
      <c r="M380" s="28">
        <f t="shared" si="49"/>
        <v>154717</v>
      </c>
      <c r="N380" s="28">
        <f>+IFERROR(VLOOKUP(A380,TB310320119!$A$11:$C$421,3,0),0)</f>
        <v>0</v>
      </c>
      <c r="O380" s="28">
        <v>0</v>
      </c>
      <c r="P380" s="28">
        <f t="shared" si="57"/>
        <v>0</v>
      </c>
      <c r="Q380" s="20">
        <f t="shared" si="50"/>
        <v>617954</v>
      </c>
    </row>
    <row r="381" spans="1:17" ht="15" customHeight="1">
      <c r="A381" s="33" t="s">
        <v>503</v>
      </c>
      <c r="B381" s="37">
        <v>7</v>
      </c>
      <c r="C381" s="37" t="s">
        <v>561</v>
      </c>
      <c r="D381" s="37" t="s">
        <v>561</v>
      </c>
      <c r="E381" s="28">
        <f>+IFERROR(VLOOKUP(A381,TB31032020!$A$11:$C$415,2,0),0)</f>
        <v>0</v>
      </c>
      <c r="F381" s="28">
        <v>0</v>
      </c>
      <c r="G381" s="28">
        <f t="shared" si="47"/>
        <v>0</v>
      </c>
      <c r="H381" s="28">
        <f>+IFERROR(VLOOKUP(A381,TB31032020!$A$11:$C$415,3,0),0)</f>
        <v>0</v>
      </c>
      <c r="I381" s="28">
        <v>0</v>
      </c>
      <c r="J381" s="28">
        <f t="shared" si="48"/>
        <v>0</v>
      </c>
      <c r="K381" s="28">
        <f>+IFERROR(VLOOKUP(A381,TB310320119!$A$11:$C$422,2,0),0)</f>
        <v>0</v>
      </c>
      <c r="L381" s="28">
        <v>0</v>
      </c>
      <c r="M381" s="28">
        <f t="shared" si="49"/>
        <v>0</v>
      </c>
      <c r="N381" s="28">
        <f>+IFERROR(VLOOKUP(A381,TB310320119!$A$11:$C$421,3,0),0)</f>
        <v>55544</v>
      </c>
      <c r="O381" s="28">
        <v>0</v>
      </c>
      <c r="P381" s="28">
        <f t="shared" si="57"/>
        <v>55544</v>
      </c>
      <c r="Q381" s="20">
        <f t="shared" si="50"/>
        <v>111088</v>
      </c>
    </row>
    <row r="382" spans="1:17" ht="15" customHeight="1">
      <c r="A382" s="40" t="s">
        <v>701</v>
      </c>
      <c r="B382" s="28">
        <v>12</v>
      </c>
      <c r="C382" s="28" t="s">
        <v>566</v>
      </c>
      <c r="D382" s="28" t="s">
        <v>634</v>
      </c>
      <c r="E382" s="28">
        <f>+IFERROR(VLOOKUP(A382,TB31032020!$A$11:$C$415,2,0),0)</f>
        <v>2000</v>
      </c>
      <c r="F382" s="28">
        <v>0</v>
      </c>
      <c r="G382" s="28">
        <f t="shared" si="47"/>
        <v>2000</v>
      </c>
      <c r="H382" s="28">
        <f>+IFERROR(VLOOKUP(A382,TB31032020!$A$11:$C$415,3,0),0)</f>
        <v>0</v>
      </c>
      <c r="I382" s="28">
        <v>0</v>
      </c>
      <c r="J382" s="28">
        <f t="shared" si="48"/>
        <v>0</v>
      </c>
      <c r="K382" s="28">
        <f>+IFERROR(VLOOKUP(A382,TB310320119!$A$11:$C$422,2,0),0)</f>
        <v>0</v>
      </c>
      <c r="L382" s="28">
        <v>0</v>
      </c>
      <c r="M382" s="28">
        <f t="shared" si="49"/>
        <v>0</v>
      </c>
      <c r="N382" s="28">
        <f>+IFERROR(VLOOKUP(A382,TB310320119!$A$11:$C$421,3,0),0)</f>
        <v>0</v>
      </c>
      <c r="O382" s="28">
        <v>0</v>
      </c>
      <c r="P382" s="28">
        <f t="shared" si="57"/>
        <v>0</v>
      </c>
      <c r="Q382" s="20">
        <f t="shared" si="50"/>
        <v>4000</v>
      </c>
    </row>
    <row r="383" spans="1:17" ht="15" customHeight="1">
      <c r="A383" s="33" t="s">
        <v>301</v>
      </c>
      <c r="B383" s="28">
        <v>26</v>
      </c>
      <c r="C383" s="28" t="s">
        <v>568</v>
      </c>
      <c r="D383" s="28" t="s">
        <v>702</v>
      </c>
      <c r="E383" s="28">
        <f>+IFERROR(VLOOKUP(A383,TB31032020!$A$11:$C$415,2,0),0)</f>
        <v>4167429</v>
      </c>
      <c r="F383" s="28">
        <v>0</v>
      </c>
      <c r="G383" s="28">
        <f t="shared" si="47"/>
        <v>4167429</v>
      </c>
      <c r="H383" s="28">
        <f>+IFERROR(VLOOKUP(A383,TB31032020!$A$11:$C$415,3,0),0)</f>
        <v>0</v>
      </c>
      <c r="I383" s="28">
        <v>0</v>
      </c>
      <c r="J383" s="28">
        <f t="shared" si="48"/>
        <v>0</v>
      </c>
      <c r="K383" s="28">
        <f>+IFERROR(VLOOKUP(A383,TB310320119!$A$11:$C$422,2,0),0)</f>
        <v>4086715</v>
      </c>
      <c r="L383" s="28">
        <v>0</v>
      </c>
      <c r="M383" s="28">
        <f t="shared" si="49"/>
        <v>4086715</v>
      </c>
      <c r="N383" s="28">
        <f>+IFERROR(VLOOKUP(A383,TB310320119!$A$11:$C$421,3,0),0)</f>
        <v>0</v>
      </c>
      <c r="O383" s="28">
        <v>0</v>
      </c>
      <c r="P383" s="28">
        <f t="shared" si="57"/>
        <v>0</v>
      </c>
      <c r="Q383" s="20">
        <f t="shared" si="50"/>
        <v>16508288</v>
      </c>
    </row>
    <row r="384" spans="1:17" ht="15" customHeight="1">
      <c r="A384" s="33" t="s">
        <v>303</v>
      </c>
      <c r="B384" s="28">
        <v>12</v>
      </c>
      <c r="C384" s="28" t="s">
        <v>566</v>
      </c>
      <c r="D384" s="47" t="s">
        <v>1302</v>
      </c>
      <c r="E384" s="28">
        <f>+IFERROR(VLOOKUP(A384,TB31032020!$A$11:$C$415,2,0),0)</f>
        <v>0</v>
      </c>
      <c r="F384" s="28">
        <v>0</v>
      </c>
      <c r="G384" s="28">
        <f t="shared" si="47"/>
        <v>0</v>
      </c>
      <c r="H384" s="28">
        <f>+IFERROR(VLOOKUP(A384,TB31032020!$A$11:$C$415,3,0),0)</f>
        <v>100502.93</v>
      </c>
      <c r="I384" s="28">
        <v>0</v>
      </c>
      <c r="J384" s="28">
        <f t="shared" si="48"/>
        <v>100502.93</v>
      </c>
      <c r="K384" s="28">
        <f>+IFERROR(VLOOKUP(A384,TB310320119!$A$11:$C$422,2,0),0)</f>
        <v>0</v>
      </c>
      <c r="L384" s="28">
        <v>0</v>
      </c>
      <c r="M384" s="28">
        <f t="shared" si="49"/>
        <v>0</v>
      </c>
      <c r="N384" s="28">
        <f>+IFERROR(VLOOKUP(A384,TB310320119!$A$11:$C$421,3,0),0)</f>
        <v>30618.93</v>
      </c>
      <c r="O384" s="28">
        <v>0</v>
      </c>
      <c r="P384" s="28">
        <f t="shared" si="57"/>
        <v>30618.93</v>
      </c>
      <c r="Q384" s="20">
        <f t="shared" si="50"/>
        <v>262243.71999999997</v>
      </c>
    </row>
    <row r="385" spans="1:17" ht="15" customHeight="1">
      <c r="A385" s="48" t="s">
        <v>304</v>
      </c>
      <c r="B385" s="28">
        <v>12</v>
      </c>
      <c r="C385" s="28" t="s">
        <v>566</v>
      </c>
      <c r="D385" s="47" t="s">
        <v>1302</v>
      </c>
      <c r="E385" s="28">
        <f>+IFERROR(VLOOKUP(A385,TB31032020!$A$11:$C$415,2,0),0)</f>
        <v>486323.88</v>
      </c>
      <c r="F385" s="28">
        <v>0</v>
      </c>
      <c r="G385" s="28">
        <f t="shared" si="47"/>
        <v>486323.88</v>
      </c>
      <c r="H385" s="28">
        <f>+IFERROR(VLOOKUP(A385,TB31032020!$A$11:$C$415,3,0),0)</f>
        <v>0</v>
      </c>
      <c r="I385" s="28">
        <v>0</v>
      </c>
      <c r="J385" s="28">
        <f t="shared" si="48"/>
        <v>0</v>
      </c>
      <c r="K385" s="28">
        <f>+IFERROR(VLOOKUP(A385,TB310320119!$A$11:$C$422,2,0),0)</f>
        <v>0</v>
      </c>
      <c r="L385" s="28">
        <v>0</v>
      </c>
      <c r="M385" s="28">
        <f t="shared" si="49"/>
        <v>0</v>
      </c>
      <c r="N385" s="28">
        <f>+IFERROR(VLOOKUP(A385,TB310320119!$A$11:$C$421,3,0),0)</f>
        <v>38005.120000000003</v>
      </c>
      <c r="O385" s="28">
        <v>0</v>
      </c>
      <c r="P385" s="28">
        <f t="shared" si="57"/>
        <v>38005.120000000003</v>
      </c>
      <c r="Q385" s="20">
        <f t="shared" si="50"/>
        <v>1048658</v>
      </c>
    </row>
    <row r="386" spans="1:17" ht="15" customHeight="1">
      <c r="A386" s="36" t="s">
        <v>305</v>
      </c>
      <c r="B386" s="28">
        <v>12</v>
      </c>
      <c r="C386" s="28" t="s">
        <v>566</v>
      </c>
      <c r="D386" s="47" t="s">
        <v>1302</v>
      </c>
      <c r="E386" s="28">
        <f>+IFERROR(VLOOKUP(A386,TB31032020!$A$11:$C$415,2,0),0)</f>
        <v>0</v>
      </c>
      <c r="F386" s="28">
        <v>0</v>
      </c>
      <c r="G386" s="28">
        <f t="shared" si="47"/>
        <v>0</v>
      </c>
      <c r="H386" s="28">
        <f>+IFERROR(VLOOKUP(A386,TB31032020!$A$11:$C$415,3,0),0)</f>
        <v>0</v>
      </c>
      <c r="I386" s="28">
        <v>0</v>
      </c>
      <c r="J386" s="28">
        <f t="shared" si="48"/>
        <v>0</v>
      </c>
      <c r="K386" s="28">
        <f>+IFERROR(VLOOKUP(A386,TB310320119!$A$11:$C$422,2,0),0)</f>
        <v>0</v>
      </c>
      <c r="L386" s="28">
        <v>0</v>
      </c>
      <c r="M386" s="28">
        <f t="shared" si="49"/>
        <v>0</v>
      </c>
      <c r="N386" s="28">
        <f>+IFERROR(VLOOKUP(A386,TB310320119!$A$11:$C$421,3,0),0)</f>
        <v>0</v>
      </c>
      <c r="O386" s="28">
        <v>0</v>
      </c>
      <c r="P386" s="28">
        <f t="shared" si="57"/>
        <v>0</v>
      </c>
      <c r="Q386" s="20">
        <f t="shared" si="50"/>
        <v>0</v>
      </c>
    </row>
    <row r="387" spans="1:17" ht="15" customHeight="1">
      <c r="A387" s="33" t="s">
        <v>306</v>
      </c>
      <c r="B387" s="28">
        <v>12</v>
      </c>
      <c r="C387" s="28" t="s">
        <v>566</v>
      </c>
      <c r="D387" s="47" t="s">
        <v>1302</v>
      </c>
      <c r="E387" s="28">
        <f>+IFERROR(VLOOKUP(A387,TB31032020!$A$11:$C$415,2,0),0)</f>
        <v>0</v>
      </c>
      <c r="F387" s="28">
        <v>0</v>
      </c>
      <c r="G387" s="28">
        <f t="shared" si="47"/>
        <v>0</v>
      </c>
      <c r="H387" s="28">
        <f>+IFERROR(VLOOKUP(A387,TB31032020!$A$11:$C$415,3,0),0)</f>
        <v>80872.929999999993</v>
      </c>
      <c r="I387" s="28">
        <v>0</v>
      </c>
      <c r="J387" s="28">
        <f t="shared" si="48"/>
        <v>80872.929999999993</v>
      </c>
      <c r="K387" s="28">
        <f>+IFERROR(VLOOKUP(A387,TB310320119!$A$11:$C$422,2,0),0)</f>
        <v>0</v>
      </c>
      <c r="L387" s="28">
        <v>0</v>
      </c>
      <c r="M387" s="28">
        <f t="shared" si="49"/>
        <v>0</v>
      </c>
      <c r="N387" s="28">
        <f>+IFERROR(VLOOKUP(A387,TB310320119!$A$11:$C$421,3,0),0)</f>
        <v>30618.93</v>
      </c>
      <c r="O387" s="28">
        <v>0</v>
      </c>
      <c r="P387" s="28">
        <f t="shared" si="57"/>
        <v>30618.93</v>
      </c>
      <c r="Q387" s="20">
        <f t="shared" si="50"/>
        <v>222983.71999999997</v>
      </c>
    </row>
    <row r="388" spans="1:17" ht="15" customHeight="1">
      <c r="A388" s="33" t="s">
        <v>1295</v>
      </c>
      <c r="B388" s="28">
        <v>12</v>
      </c>
      <c r="C388" s="28" t="s">
        <v>566</v>
      </c>
      <c r="D388" s="47" t="s">
        <v>1302</v>
      </c>
      <c r="E388" s="28">
        <f>+IFERROR(VLOOKUP(A388,TB31032020!$A$11:$C$415,2,0),0)</f>
        <v>0</v>
      </c>
      <c r="F388" s="28">
        <v>0</v>
      </c>
      <c r="G388" s="28">
        <f t="shared" si="47"/>
        <v>0</v>
      </c>
      <c r="H388" s="28">
        <f>+IFERROR(VLOOKUP(A388,TB31032020!$A$11:$C$415,3,0),0)</f>
        <v>0</v>
      </c>
      <c r="I388" s="28">
        <v>0</v>
      </c>
      <c r="J388" s="28">
        <f t="shared" si="48"/>
        <v>0</v>
      </c>
      <c r="K388" s="28">
        <f>+IFERROR(VLOOKUP(A388,TB310320119!$A$11:$C$422,2,0),0)</f>
        <v>0</v>
      </c>
      <c r="L388" s="28">
        <v>0</v>
      </c>
      <c r="M388" s="28">
        <f t="shared" ref="M388:M390" si="58">K388+L388</f>
        <v>0</v>
      </c>
      <c r="N388" s="28">
        <f>+IFERROR(VLOOKUP(A388,TB310320119!$A$11:$C$421,3,0),0)</f>
        <v>0</v>
      </c>
      <c r="O388" s="28">
        <v>0</v>
      </c>
      <c r="P388" s="28">
        <f t="shared" ref="P388:P390" si="59">N388+O388</f>
        <v>0</v>
      </c>
      <c r="Q388" s="20">
        <f t="shared" ref="Q388:Q390" si="60">+SUM(E388:P388)</f>
        <v>0</v>
      </c>
    </row>
    <row r="389" spans="1:17" ht="15" customHeight="1">
      <c r="A389" s="33" t="s">
        <v>1296</v>
      </c>
      <c r="B389" s="28">
        <v>12</v>
      </c>
      <c r="C389" s="28" t="s">
        <v>566</v>
      </c>
      <c r="D389" s="47" t="s">
        <v>1302</v>
      </c>
      <c r="E389" s="28">
        <f>+IFERROR(VLOOKUP(A389,TB31032020!$A$11:$C$415,2,0),0)</f>
        <v>0</v>
      </c>
      <c r="F389" s="28">
        <v>0</v>
      </c>
      <c r="G389" s="28">
        <f t="shared" si="47"/>
        <v>0</v>
      </c>
      <c r="H389" s="28">
        <f>+IFERROR(VLOOKUP(A389,TB31032020!$A$11:$C$415,3,0),0)</f>
        <v>0</v>
      </c>
      <c r="I389" s="28">
        <v>0</v>
      </c>
      <c r="J389" s="28">
        <f t="shared" si="48"/>
        <v>0</v>
      </c>
      <c r="K389" s="28">
        <f>+IFERROR(VLOOKUP(A389,TB310320119!$A$11:$C$422,2,0),0)</f>
        <v>0</v>
      </c>
      <c r="L389" s="28">
        <v>0</v>
      </c>
      <c r="M389" s="28">
        <f t="shared" si="58"/>
        <v>0</v>
      </c>
      <c r="N389" s="28">
        <f>+IFERROR(VLOOKUP(A389,TB310320119!$A$11:$C$421,3,0),0)</f>
        <v>0</v>
      </c>
      <c r="O389" s="28">
        <v>0</v>
      </c>
      <c r="P389" s="28">
        <f t="shared" si="59"/>
        <v>0</v>
      </c>
      <c r="Q389" s="20">
        <f t="shared" si="60"/>
        <v>0</v>
      </c>
    </row>
    <row r="390" spans="1:17" ht="15" customHeight="1">
      <c r="A390" s="33" t="s">
        <v>1298</v>
      </c>
      <c r="B390" s="28">
        <v>12</v>
      </c>
      <c r="C390" s="28" t="s">
        <v>566</v>
      </c>
      <c r="D390" s="47" t="s">
        <v>1302</v>
      </c>
      <c r="E390" s="28">
        <f>+IFERROR(VLOOKUP(A390,TB31032020!$A$11:$C$415,2,0),0)</f>
        <v>0</v>
      </c>
      <c r="F390" s="28">
        <v>0</v>
      </c>
      <c r="G390" s="28">
        <f t="shared" si="47"/>
        <v>0</v>
      </c>
      <c r="H390" s="28">
        <f>+IFERROR(VLOOKUP(A390,TB31032020!$A$11:$C$415,3,0),0)</f>
        <v>0</v>
      </c>
      <c r="I390" s="28">
        <v>0</v>
      </c>
      <c r="J390" s="28">
        <f t="shared" si="48"/>
        <v>0</v>
      </c>
      <c r="K390" s="28">
        <f>+IFERROR(VLOOKUP(A390,TB310320119!$A$11:$C$422,2,0),0)</f>
        <v>0</v>
      </c>
      <c r="L390" s="28">
        <v>0</v>
      </c>
      <c r="M390" s="28">
        <f t="shared" si="58"/>
        <v>0</v>
      </c>
      <c r="N390" s="28">
        <f>+IFERROR(VLOOKUP(A390,TB310320119!$A$11:$C$421,3,0),0)</f>
        <v>0</v>
      </c>
      <c r="O390" s="28">
        <v>0</v>
      </c>
      <c r="P390" s="28">
        <f t="shared" si="59"/>
        <v>0</v>
      </c>
      <c r="Q390" s="20">
        <f t="shared" si="60"/>
        <v>0</v>
      </c>
    </row>
    <row r="391" spans="1:17" ht="15" customHeight="1">
      <c r="A391" s="30" t="s">
        <v>307</v>
      </c>
      <c r="B391" s="28">
        <v>7</v>
      </c>
      <c r="C391" s="28" t="s">
        <v>561</v>
      </c>
      <c r="D391" s="28" t="s">
        <v>562</v>
      </c>
      <c r="E391" s="28">
        <f>+IFERROR(VLOOKUP(A391,TB31032020!$A$11:$C$415,2,0),0)</f>
        <v>0</v>
      </c>
      <c r="F391" s="28">
        <v>0</v>
      </c>
      <c r="G391" s="28">
        <f t="shared" ref="G391:G454" si="61">+E391+F391</f>
        <v>0</v>
      </c>
      <c r="H391" s="28">
        <f>+IFERROR(VLOOKUP(A391,TB31032020!$A$11:$C$415,3,0),0)</f>
        <v>51508</v>
      </c>
      <c r="I391" s="28">
        <v>0</v>
      </c>
      <c r="J391" s="28">
        <f t="shared" ref="J391:J454" si="62">+H391+I391</f>
        <v>51508</v>
      </c>
      <c r="K391" s="28">
        <f>+IFERROR(VLOOKUP(A391,TB310320119!$A$11:$C$422,2,0),0)</f>
        <v>0</v>
      </c>
      <c r="L391" s="28">
        <v>0</v>
      </c>
      <c r="M391" s="28">
        <f t="shared" si="49"/>
        <v>0</v>
      </c>
      <c r="N391" s="28">
        <f>+IFERROR(VLOOKUP(A391,TB310320119!$A$11:$C$421,3,0),0)</f>
        <v>0</v>
      </c>
      <c r="O391" s="28">
        <v>0</v>
      </c>
      <c r="P391" s="28">
        <f t="shared" si="57"/>
        <v>0</v>
      </c>
      <c r="Q391" s="20">
        <f t="shared" si="50"/>
        <v>103016</v>
      </c>
    </row>
    <row r="392" spans="1:17" ht="15" customHeight="1">
      <c r="A392" s="33" t="s">
        <v>703</v>
      </c>
      <c r="B392" s="28">
        <v>24</v>
      </c>
      <c r="C392" s="28" t="s">
        <v>579</v>
      </c>
      <c r="D392" s="28" t="s">
        <v>580</v>
      </c>
      <c r="E392" s="28">
        <f>+IFERROR(VLOOKUP(A392,TB31032020!$A$11:$C$415,2,0),0)</f>
        <v>4800000</v>
      </c>
      <c r="F392" s="28">
        <v>0</v>
      </c>
      <c r="G392" s="28">
        <f t="shared" si="61"/>
        <v>4800000</v>
      </c>
      <c r="H392" s="28">
        <f>+IFERROR(VLOOKUP(A392,TB31032020!$A$11:$C$415,3,0),0)</f>
        <v>0</v>
      </c>
      <c r="I392" s="28">
        <v>0</v>
      </c>
      <c r="J392" s="28">
        <f t="shared" si="62"/>
        <v>0</v>
      </c>
      <c r="K392" s="28">
        <f>+IFERROR(VLOOKUP(A392,TB310320119!$A$11:$C$422,2,0),0)</f>
        <v>4573846</v>
      </c>
      <c r="L392" s="28">
        <v>0</v>
      </c>
      <c r="M392" s="28">
        <f t="shared" si="49"/>
        <v>4573846</v>
      </c>
      <c r="N392" s="28">
        <f>+IFERROR(VLOOKUP(A392,TB310320119!$A$11:$C$421,3,0),0)</f>
        <v>0</v>
      </c>
      <c r="O392" s="28">
        <v>0</v>
      </c>
      <c r="P392" s="28">
        <f t="shared" si="57"/>
        <v>0</v>
      </c>
      <c r="Q392" s="20">
        <f t="shared" si="50"/>
        <v>18747692</v>
      </c>
    </row>
    <row r="393" spans="1:17" ht="15" customHeight="1">
      <c r="A393" s="33" t="s">
        <v>309</v>
      </c>
      <c r="B393" s="28">
        <v>26</v>
      </c>
      <c r="C393" s="28" t="s">
        <v>568</v>
      </c>
      <c r="D393" s="28" t="s">
        <v>578</v>
      </c>
      <c r="E393" s="28">
        <f>+IFERROR(VLOOKUP(A393,TB31032020!$A$11:$C$415,2,0),0)</f>
        <v>319093</v>
      </c>
      <c r="F393" s="28">
        <v>0</v>
      </c>
      <c r="G393" s="28">
        <f t="shared" si="61"/>
        <v>319093</v>
      </c>
      <c r="H393" s="28">
        <f>+IFERROR(VLOOKUP(A393,TB31032020!$A$11:$C$415,3,0),0)</f>
        <v>0</v>
      </c>
      <c r="I393" s="28">
        <v>0</v>
      </c>
      <c r="J393" s="28">
        <f t="shared" si="62"/>
        <v>0</v>
      </c>
      <c r="K393" s="28">
        <f>+IFERROR(VLOOKUP(A393,TB310320119!$A$11:$C$422,2,0),0)</f>
        <v>236391</v>
      </c>
      <c r="L393" s="28">
        <v>0</v>
      </c>
      <c r="M393" s="28">
        <f t="shared" si="49"/>
        <v>236391</v>
      </c>
      <c r="N393" s="28">
        <f>+IFERROR(VLOOKUP(A393,TB310320119!$A$11:$C$421,3,0),0)</f>
        <v>0</v>
      </c>
      <c r="O393" s="28">
        <v>0</v>
      </c>
      <c r="P393" s="28">
        <f t="shared" si="57"/>
        <v>0</v>
      </c>
      <c r="Q393" s="20">
        <f t="shared" si="50"/>
        <v>1110968</v>
      </c>
    </row>
    <row r="394" spans="1:17" ht="15" customHeight="1">
      <c r="A394" s="28" t="s">
        <v>704</v>
      </c>
      <c r="B394" s="28">
        <v>26</v>
      </c>
      <c r="C394" s="28" t="s">
        <v>568</v>
      </c>
      <c r="D394" s="28" t="s">
        <v>705</v>
      </c>
      <c r="E394" s="28">
        <f>+IFERROR(VLOOKUP(A394,TB31032020!$A$11:$C$415,2,0),0)</f>
        <v>954273.6</v>
      </c>
      <c r="F394" s="28">
        <v>0</v>
      </c>
      <c r="G394" s="28">
        <f t="shared" si="61"/>
        <v>954273.6</v>
      </c>
      <c r="H394" s="28">
        <f>+IFERROR(VLOOKUP(A394,TB31032020!$A$11:$C$415,3,0),0)</f>
        <v>0</v>
      </c>
      <c r="I394" s="28">
        <v>0</v>
      </c>
      <c r="J394" s="28">
        <f t="shared" si="62"/>
        <v>0</v>
      </c>
      <c r="K394" s="28">
        <f>+IFERROR(VLOOKUP(A394,TB310320119!$A$11:$C$422,2,0),0)</f>
        <v>2155685.31</v>
      </c>
      <c r="L394" s="28">
        <v>0</v>
      </c>
      <c r="M394" s="28">
        <f t="shared" si="49"/>
        <v>2155685.31</v>
      </c>
      <c r="N394" s="28">
        <f>+IFERROR(VLOOKUP(A394,TB310320119!$A$11:$C$421,3,0),0)</f>
        <v>0</v>
      </c>
      <c r="O394" s="28">
        <v>0</v>
      </c>
      <c r="P394" s="28">
        <f t="shared" si="57"/>
        <v>0</v>
      </c>
      <c r="Q394" s="20">
        <f t="shared" si="50"/>
        <v>6219917.8200000003</v>
      </c>
    </row>
    <row r="395" spans="1:17" ht="15" customHeight="1">
      <c r="A395" s="34" t="s">
        <v>310</v>
      </c>
      <c r="B395" s="28">
        <v>26</v>
      </c>
      <c r="C395" s="28" t="s">
        <v>568</v>
      </c>
      <c r="D395" s="28" t="s">
        <v>682</v>
      </c>
      <c r="E395" s="28">
        <f>+IFERROR(VLOOKUP(A395,TB31032020!$A$11:$C$415,2,0),0)</f>
        <v>409071.26</v>
      </c>
      <c r="F395" s="28">
        <v>0</v>
      </c>
      <c r="G395" s="28">
        <f t="shared" si="61"/>
        <v>409071.26</v>
      </c>
      <c r="H395" s="28">
        <f>+IFERROR(VLOOKUP(A395,TB31032020!$A$11:$C$415,3,0),0)</f>
        <v>0</v>
      </c>
      <c r="I395" s="28">
        <v>0</v>
      </c>
      <c r="J395" s="28">
        <f t="shared" si="62"/>
        <v>0</v>
      </c>
      <c r="K395" s="28">
        <f>+IFERROR(VLOOKUP(A395,TB310320119!$A$11:$C$422,2,0),0)</f>
        <v>591277.98</v>
      </c>
      <c r="L395" s="28">
        <v>0</v>
      </c>
      <c r="M395" s="28">
        <f t="shared" si="49"/>
        <v>591277.98</v>
      </c>
      <c r="N395" s="28">
        <f>+IFERROR(VLOOKUP(A395,TB310320119!$A$11:$C$421,3,0),0)</f>
        <v>0</v>
      </c>
      <c r="O395" s="28">
        <v>0</v>
      </c>
      <c r="P395" s="28">
        <f t="shared" si="57"/>
        <v>0</v>
      </c>
      <c r="Q395" s="20">
        <f t="shared" si="50"/>
        <v>2000698.48</v>
      </c>
    </row>
    <row r="396" spans="1:17" ht="15" customHeight="1">
      <c r="A396" s="33" t="s">
        <v>312</v>
      </c>
      <c r="B396" s="46">
        <v>3</v>
      </c>
      <c r="C396" s="28" t="s">
        <v>597</v>
      </c>
      <c r="D396" s="28" t="s">
        <v>598</v>
      </c>
      <c r="E396" s="28">
        <f>+IFERROR(VLOOKUP(A396,TB31032020!$A$11:$C$415,2,0),0)</f>
        <v>0</v>
      </c>
      <c r="F396" s="28">
        <v>0</v>
      </c>
      <c r="G396" s="28">
        <f t="shared" si="61"/>
        <v>0</v>
      </c>
      <c r="H396" s="28">
        <f>+IFERROR(VLOOKUP(A396,TB31032020!$A$11:$C$415,3,0),0)</f>
        <v>50905004</v>
      </c>
      <c r="I396" s="28">
        <v>0</v>
      </c>
      <c r="J396" s="28">
        <f t="shared" si="62"/>
        <v>50905004</v>
      </c>
      <c r="K396" s="28">
        <f>+IFERROR(VLOOKUP(A396,TB310320119!$A$11:$C$422,2,0),0)</f>
        <v>0</v>
      </c>
      <c r="L396" s="28">
        <v>0</v>
      </c>
      <c r="M396" s="28">
        <f t="shared" si="49"/>
        <v>0</v>
      </c>
      <c r="N396" s="28">
        <f>+IFERROR(VLOOKUP(A396,TB310320119!$A$11:$C$421,3,0),0)</f>
        <v>50905004</v>
      </c>
      <c r="O396" s="28"/>
      <c r="P396" s="28">
        <f t="shared" si="57"/>
        <v>50905004</v>
      </c>
      <c r="Q396" s="20">
        <f t="shared" si="50"/>
        <v>203620016</v>
      </c>
    </row>
    <row r="397" spans="1:17" ht="15" customHeight="1">
      <c r="A397" s="34" t="s">
        <v>313</v>
      </c>
      <c r="B397" s="28">
        <v>26</v>
      </c>
      <c r="C397" s="28" t="s">
        <v>568</v>
      </c>
      <c r="D397" s="28" t="s">
        <v>569</v>
      </c>
      <c r="E397" s="28">
        <f>+IFERROR(VLOOKUP(A397,TB31032020!$A$11:$C$415,2,0),0)</f>
        <v>24500</v>
      </c>
      <c r="F397" s="28">
        <v>0</v>
      </c>
      <c r="G397" s="28">
        <f t="shared" si="61"/>
        <v>24500</v>
      </c>
      <c r="H397" s="28">
        <f>+IFERROR(VLOOKUP(A397,TB31032020!$A$11:$C$415,3,0),0)</f>
        <v>0</v>
      </c>
      <c r="I397" s="28">
        <v>0</v>
      </c>
      <c r="J397" s="28">
        <f t="shared" si="62"/>
        <v>0</v>
      </c>
      <c r="K397" s="28">
        <f>+IFERROR(VLOOKUP(A397,TB310320119!$A$11:$C$422,2,0),0)</f>
        <v>62500</v>
      </c>
      <c r="L397" s="28">
        <v>0</v>
      </c>
      <c r="M397" s="28">
        <f t="shared" si="49"/>
        <v>62500</v>
      </c>
      <c r="N397" s="28">
        <f>+IFERROR(VLOOKUP(A397,TB310320119!$A$11:$C$421,3,0),0)</f>
        <v>0</v>
      </c>
      <c r="O397" s="28">
        <v>0</v>
      </c>
      <c r="P397" s="28">
        <f t="shared" si="57"/>
        <v>0</v>
      </c>
      <c r="Q397" s="20">
        <f t="shared" si="50"/>
        <v>174000</v>
      </c>
    </row>
    <row r="398" spans="1:17" ht="15" customHeight="1">
      <c r="A398" s="34" t="s">
        <v>314</v>
      </c>
      <c r="B398" s="28">
        <v>7</v>
      </c>
      <c r="C398" s="28" t="s">
        <v>561</v>
      </c>
      <c r="D398" s="28" t="s">
        <v>561</v>
      </c>
      <c r="E398" s="28">
        <f>+IFERROR(VLOOKUP(A398,TB31032020!$A$11:$C$415,2,0),0)</f>
        <v>0</v>
      </c>
      <c r="F398" s="28">
        <v>0</v>
      </c>
      <c r="G398" s="28">
        <f t="shared" si="61"/>
        <v>0</v>
      </c>
      <c r="H398" s="28">
        <f>+IFERROR(VLOOKUP(A398,TB31032020!$A$11:$C$415,3,0),0)</f>
        <v>1127420</v>
      </c>
      <c r="I398" s="28">
        <v>0</v>
      </c>
      <c r="J398" s="28">
        <f t="shared" si="62"/>
        <v>1127420</v>
      </c>
      <c r="K398" s="28">
        <f>+IFERROR(VLOOKUP(A398,TB310320119!$A$11:$C$422,2,0),0)</f>
        <v>0</v>
      </c>
      <c r="L398" s="28">
        <v>0</v>
      </c>
      <c r="M398" s="28">
        <f t="shared" si="49"/>
        <v>0</v>
      </c>
      <c r="N398" s="28">
        <f>+IFERROR(VLOOKUP(A398,TB310320119!$A$11:$C$421,3,0),0)</f>
        <v>187572</v>
      </c>
      <c r="O398" s="28">
        <v>0</v>
      </c>
      <c r="P398" s="28">
        <f t="shared" si="57"/>
        <v>187572</v>
      </c>
      <c r="Q398" s="20">
        <f t="shared" si="50"/>
        <v>2629984</v>
      </c>
    </row>
    <row r="399" spans="1:17" ht="15" customHeight="1">
      <c r="A399" s="33" t="s">
        <v>315</v>
      </c>
      <c r="B399" s="28">
        <v>26</v>
      </c>
      <c r="C399" s="28" t="s">
        <v>568</v>
      </c>
      <c r="D399" s="28" t="s">
        <v>578</v>
      </c>
      <c r="E399" s="28">
        <f>+IFERROR(VLOOKUP(A399,TB31032020!$A$11:$C$415,2,0),0)</f>
        <v>0</v>
      </c>
      <c r="F399" s="28">
        <v>0</v>
      </c>
      <c r="G399" s="28">
        <f t="shared" si="61"/>
        <v>0</v>
      </c>
      <c r="H399" s="28">
        <f>+IFERROR(VLOOKUP(A399,TB31032020!$A$11:$C$415,3,0),0)</f>
        <v>487.23</v>
      </c>
      <c r="I399" s="28">
        <v>0</v>
      </c>
      <c r="J399" s="28">
        <f t="shared" si="62"/>
        <v>487.23</v>
      </c>
      <c r="K399" s="28">
        <f>+IFERROR(VLOOKUP(A399,TB310320119!$A$11:$C$422,2,0),0)</f>
        <v>0</v>
      </c>
      <c r="L399" s="28">
        <v>0</v>
      </c>
      <c r="M399" s="28">
        <f t="shared" si="49"/>
        <v>0</v>
      </c>
      <c r="N399" s="28">
        <f>+IFERROR(VLOOKUP(A399,TB310320119!$A$11:$C$421,3,0),0)</f>
        <v>313.79000000000002</v>
      </c>
      <c r="O399" s="28">
        <v>0</v>
      </c>
      <c r="P399" s="28">
        <f t="shared" si="57"/>
        <v>313.79000000000002</v>
      </c>
      <c r="Q399" s="20">
        <f t="shared" si="50"/>
        <v>1602.04</v>
      </c>
    </row>
    <row r="400" spans="1:17" ht="15" customHeight="1">
      <c r="A400" s="29" t="s">
        <v>706</v>
      </c>
      <c r="B400" s="28">
        <v>16</v>
      </c>
      <c r="C400" s="28" t="s">
        <v>601</v>
      </c>
      <c r="D400" s="28" t="s">
        <v>707</v>
      </c>
      <c r="E400" s="28">
        <f>+IFERROR(VLOOKUP(A400,TB31032020!$A$11:$C$415,2,0),0)</f>
        <v>84224</v>
      </c>
      <c r="F400" s="28">
        <v>-770.5</v>
      </c>
      <c r="G400" s="28">
        <f t="shared" si="61"/>
        <v>83453.5</v>
      </c>
      <c r="H400" s="28">
        <f>+IFERROR(VLOOKUP(A400,TB31032020!$A$11:$C$415,3,0),0)</f>
        <v>0</v>
      </c>
      <c r="I400" s="28">
        <v>0</v>
      </c>
      <c r="J400" s="28">
        <f t="shared" si="62"/>
        <v>0</v>
      </c>
      <c r="K400" s="28">
        <f>+IFERROR(VLOOKUP(A400,TB310320119!$A$11:$C$422,2,0),0)</f>
        <v>0</v>
      </c>
      <c r="L400" s="28">
        <v>192300</v>
      </c>
      <c r="M400" s="28">
        <f t="shared" si="49"/>
        <v>192300</v>
      </c>
      <c r="N400" s="28">
        <f>+IFERROR(VLOOKUP(A400,TB310320119!$A$11:$C$421,3,0),0)</f>
        <v>0</v>
      </c>
      <c r="O400" s="28">
        <v>0</v>
      </c>
      <c r="P400" s="28">
        <f t="shared" si="57"/>
        <v>0</v>
      </c>
      <c r="Q400" s="20">
        <f t="shared" si="50"/>
        <v>551507</v>
      </c>
    </row>
    <row r="401" spans="1:17" ht="15" customHeight="1">
      <c r="A401" s="33" t="s">
        <v>334</v>
      </c>
      <c r="B401" s="28">
        <v>16</v>
      </c>
      <c r="C401" s="28" t="s">
        <v>601</v>
      </c>
      <c r="D401" s="28" t="s">
        <v>708</v>
      </c>
      <c r="E401" s="28">
        <f>+IFERROR(VLOOKUP(A401,TB31032020!$A$11:$C$415,2,0),0)</f>
        <v>49097</v>
      </c>
      <c r="F401" s="28">
        <v>0</v>
      </c>
      <c r="G401" s="28">
        <f t="shared" si="61"/>
        <v>49097</v>
      </c>
      <c r="H401" s="28">
        <f>+IFERROR(VLOOKUP(A401,TB31032020!$A$11:$C$415,3,0),0)</f>
        <v>0</v>
      </c>
      <c r="I401" s="28">
        <v>0</v>
      </c>
      <c r="J401" s="28">
        <f t="shared" si="62"/>
        <v>0</v>
      </c>
      <c r="K401" s="28">
        <f>+IFERROR(VLOOKUP(A401,TB310320119!$A$11:$C$422,2,0),0)</f>
        <v>13126.5</v>
      </c>
      <c r="L401" s="28">
        <v>0</v>
      </c>
      <c r="M401" s="28">
        <f t="shared" si="49"/>
        <v>13126.5</v>
      </c>
      <c r="N401" s="28">
        <f>+IFERROR(VLOOKUP(A401,TB310320119!$A$11:$C$421,3,0),0)</f>
        <v>0</v>
      </c>
      <c r="O401" s="28">
        <v>0</v>
      </c>
      <c r="P401" s="28">
        <f t="shared" si="57"/>
        <v>0</v>
      </c>
      <c r="Q401" s="20">
        <f t="shared" si="50"/>
        <v>124447</v>
      </c>
    </row>
    <row r="402" spans="1:17" ht="15" customHeight="1">
      <c r="A402" s="29" t="s">
        <v>335</v>
      </c>
      <c r="B402" s="28">
        <v>4</v>
      </c>
      <c r="C402" s="28" t="s">
        <v>576</v>
      </c>
      <c r="D402" s="28" t="s">
        <v>709</v>
      </c>
      <c r="E402" s="28">
        <f>+IFERROR(VLOOKUP(A402,TB31032020!$A$11:$C$415,2,0),0)</f>
        <v>0</v>
      </c>
      <c r="F402" s="28">
        <v>0</v>
      </c>
      <c r="G402" s="28">
        <f t="shared" si="61"/>
        <v>0</v>
      </c>
      <c r="H402" s="28">
        <f>+IFERROR(VLOOKUP(A402,TB31032020!$A$11:$C$415,3,0),0)</f>
        <v>7150762</v>
      </c>
      <c r="I402" s="28">
        <v>0</v>
      </c>
      <c r="J402" s="28">
        <f t="shared" si="62"/>
        <v>7150762</v>
      </c>
      <c r="K402" s="28">
        <f>+IFERROR(VLOOKUP(A402,TB310320119!$A$11:$C$422,2,0),0)</f>
        <v>0</v>
      </c>
      <c r="L402" s="28">
        <v>0</v>
      </c>
      <c r="M402" s="28">
        <f t="shared" si="49"/>
        <v>0</v>
      </c>
      <c r="N402" s="28">
        <f>+IFERROR(VLOOKUP(A402,TB310320119!$A$11:$C$421,3,0),0)</f>
        <v>10474175</v>
      </c>
      <c r="O402" s="28">
        <v>0</v>
      </c>
      <c r="P402" s="28">
        <f t="shared" si="57"/>
        <v>10474175</v>
      </c>
      <c r="Q402" s="20">
        <f t="shared" si="50"/>
        <v>35249874</v>
      </c>
    </row>
    <row r="403" spans="1:17" ht="15" customHeight="1">
      <c r="A403" s="33" t="s">
        <v>336</v>
      </c>
      <c r="B403" s="28">
        <v>4</v>
      </c>
      <c r="C403" s="28" t="s">
        <v>576</v>
      </c>
      <c r="D403" s="28" t="s">
        <v>709</v>
      </c>
      <c r="E403" s="28">
        <f>+IFERROR(VLOOKUP(A403,TB31032020!$A$11:$C$415,2,0),0)</f>
        <v>0</v>
      </c>
      <c r="F403" s="28">
        <v>0</v>
      </c>
      <c r="G403" s="28">
        <f t="shared" si="61"/>
        <v>0</v>
      </c>
      <c r="H403" s="28">
        <f>+IFERROR(VLOOKUP(A403,TB31032020!$A$11:$C$415,3,0),0)</f>
        <v>695244</v>
      </c>
      <c r="I403" s="28">
        <v>0</v>
      </c>
      <c r="J403" s="28">
        <f t="shared" si="62"/>
        <v>695244</v>
      </c>
      <c r="K403" s="28">
        <f>+IFERROR(VLOOKUP(A403,TB310320119!$A$11:$C$422,2,0),0)</f>
        <v>0</v>
      </c>
      <c r="L403" s="28">
        <v>0</v>
      </c>
      <c r="M403" s="28">
        <f t="shared" ref="M403:M466" si="63">K403+L403</f>
        <v>0</v>
      </c>
      <c r="N403" s="28">
        <f>+IFERROR(VLOOKUP(A403,TB310320119!$A$11:$C$421,3,0),0)</f>
        <v>8698000</v>
      </c>
      <c r="O403" s="28">
        <v>0</v>
      </c>
      <c r="P403" s="28">
        <f t="shared" si="57"/>
        <v>8698000</v>
      </c>
      <c r="Q403" s="20">
        <f t="shared" ref="Q403:Q466" si="64">+SUM(E403:P403)</f>
        <v>18786488</v>
      </c>
    </row>
    <row r="404" spans="1:17" ht="15" customHeight="1">
      <c r="A404" s="33" t="s">
        <v>337</v>
      </c>
      <c r="B404" s="28">
        <v>4</v>
      </c>
      <c r="C404" s="28" t="s">
        <v>576</v>
      </c>
      <c r="D404" s="28" t="s">
        <v>709</v>
      </c>
      <c r="E404" s="28">
        <f>+IFERROR(VLOOKUP(A404,TB31032020!$A$11:$C$415,2,0),0)</f>
        <v>0</v>
      </c>
      <c r="F404" s="28">
        <v>0</v>
      </c>
      <c r="G404" s="28">
        <f t="shared" si="61"/>
        <v>0</v>
      </c>
      <c r="H404" s="28">
        <f>+IFERROR(VLOOKUP(A404,TB31032020!$A$11:$C$415,3,0),0)</f>
        <v>5601686</v>
      </c>
      <c r="I404" s="28">
        <v>0</v>
      </c>
      <c r="J404" s="28">
        <f t="shared" si="62"/>
        <v>5601686</v>
      </c>
      <c r="K404" s="28">
        <f>+IFERROR(VLOOKUP(A404,TB310320119!$A$11:$C$422,2,0),0)</f>
        <v>0</v>
      </c>
      <c r="L404" s="28">
        <v>0</v>
      </c>
      <c r="M404" s="28">
        <f t="shared" si="63"/>
        <v>0</v>
      </c>
      <c r="N404" s="28">
        <f>+IFERROR(VLOOKUP(A404,TB310320119!$A$11:$C$421,3,0),0)</f>
        <v>8001231</v>
      </c>
      <c r="O404" s="28">
        <v>0</v>
      </c>
      <c r="P404" s="28">
        <f t="shared" si="57"/>
        <v>8001231</v>
      </c>
      <c r="Q404" s="20">
        <f t="shared" si="64"/>
        <v>27205834</v>
      </c>
    </row>
    <row r="405" spans="1:17" ht="15" customHeight="1">
      <c r="A405" s="33" t="s">
        <v>338</v>
      </c>
      <c r="B405" s="28">
        <v>4</v>
      </c>
      <c r="C405" s="28" t="s">
        <v>576</v>
      </c>
      <c r="D405" s="28" t="s">
        <v>709</v>
      </c>
      <c r="E405" s="28">
        <f>+IFERROR(VLOOKUP(A405,TB31032020!$A$11:$C$415,2,0),0)</f>
        <v>0</v>
      </c>
      <c r="F405" s="28">
        <v>0</v>
      </c>
      <c r="G405" s="28">
        <f t="shared" si="61"/>
        <v>0</v>
      </c>
      <c r="H405" s="28">
        <f>+IFERROR(VLOOKUP(A405,TB31032020!$A$11:$C$415,3,0),0)</f>
        <v>253317</v>
      </c>
      <c r="I405" s="28">
        <v>0</v>
      </c>
      <c r="J405" s="28">
        <f t="shared" si="62"/>
        <v>253317</v>
      </c>
      <c r="K405" s="28">
        <f>+IFERROR(VLOOKUP(A405,TB310320119!$A$11:$C$422,2,0),0)</f>
        <v>0</v>
      </c>
      <c r="L405" s="28">
        <v>0</v>
      </c>
      <c r="M405" s="28">
        <f t="shared" si="63"/>
        <v>0</v>
      </c>
      <c r="N405" s="28">
        <f>+IFERROR(VLOOKUP(A405,TB310320119!$A$11:$C$421,3,0),0)</f>
        <v>3252350</v>
      </c>
      <c r="O405" s="28">
        <v>0</v>
      </c>
      <c r="P405" s="28">
        <f t="shared" si="57"/>
        <v>3252350</v>
      </c>
      <c r="Q405" s="20">
        <f t="shared" si="64"/>
        <v>7011334</v>
      </c>
    </row>
    <row r="406" spans="1:17" ht="15" customHeight="1">
      <c r="A406" s="33" t="s">
        <v>519</v>
      </c>
      <c r="B406" s="37">
        <v>7</v>
      </c>
      <c r="C406" s="37" t="s">
        <v>561</v>
      </c>
      <c r="D406" s="37" t="s">
        <v>561</v>
      </c>
      <c r="E406" s="28">
        <f>+IFERROR(VLOOKUP(A406,TB31032020!$A$11:$C$415,2,0),0)</f>
        <v>0</v>
      </c>
      <c r="F406" s="28">
        <v>0</v>
      </c>
      <c r="G406" s="28">
        <f t="shared" si="61"/>
        <v>0</v>
      </c>
      <c r="H406" s="28">
        <f>+IFERROR(VLOOKUP(A406,TB31032020!$A$11:$C$415,3,0),0)</f>
        <v>0</v>
      </c>
      <c r="I406" s="28">
        <v>0</v>
      </c>
      <c r="J406" s="28">
        <f t="shared" si="62"/>
        <v>0</v>
      </c>
      <c r="K406" s="28">
        <f>+IFERROR(VLOOKUP(A406,TB310320119!$A$11:$C$422,2,0),0)</f>
        <v>0</v>
      </c>
      <c r="L406" s="28">
        <v>0</v>
      </c>
      <c r="M406" s="28">
        <f t="shared" si="63"/>
        <v>0</v>
      </c>
      <c r="N406" s="28">
        <f>+IFERROR(VLOOKUP(A406,TB310320119!$A$11:$C$421,3,0),0)</f>
        <v>23718</v>
      </c>
      <c r="O406" s="28">
        <v>0</v>
      </c>
      <c r="P406" s="28">
        <f t="shared" si="57"/>
        <v>23718</v>
      </c>
      <c r="Q406" s="20">
        <f t="shared" si="64"/>
        <v>47436</v>
      </c>
    </row>
    <row r="407" spans="1:17" ht="15" customHeight="1">
      <c r="A407" s="34" t="s">
        <v>505</v>
      </c>
      <c r="B407" s="28">
        <v>12</v>
      </c>
      <c r="C407" s="28" t="s">
        <v>566</v>
      </c>
      <c r="D407" s="28" t="s">
        <v>634</v>
      </c>
      <c r="E407" s="28">
        <f>+IFERROR(VLOOKUP(A407,TB31032020!$A$11:$C$415,2,0),0)</f>
        <v>0</v>
      </c>
      <c r="F407" s="28">
        <v>0</v>
      </c>
      <c r="G407" s="28">
        <f t="shared" si="61"/>
        <v>0</v>
      </c>
      <c r="H407" s="28">
        <f>+IFERROR(VLOOKUP(A407,TB31032020!$A$11:$C$415,3,0),0)</f>
        <v>0</v>
      </c>
      <c r="I407" s="28">
        <v>0</v>
      </c>
      <c r="J407" s="28">
        <f t="shared" si="62"/>
        <v>0</v>
      </c>
      <c r="K407" s="28">
        <f>+IFERROR(VLOOKUP(A407,TB310320119!$A$11:$C$422,2,0),0)</f>
        <v>3000</v>
      </c>
      <c r="L407" s="28">
        <v>0</v>
      </c>
      <c r="M407" s="28">
        <f t="shared" si="63"/>
        <v>3000</v>
      </c>
      <c r="N407" s="28">
        <f>+IFERROR(VLOOKUP(A407,TB310320119!$A$11:$C$421,3,0),0)</f>
        <v>0</v>
      </c>
      <c r="O407" s="28">
        <v>0</v>
      </c>
      <c r="P407" s="28">
        <f t="shared" si="57"/>
        <v>0</v>
      </c>
      <c r="Q407" s="20">
        <f t="shared" si="64"/>
        <v>6000</v>
      </c>
    </row>
    <row r="408" spans="1:17" ht="15" customHeight="1">
      <c r="A408" s="33" t="s">
        <v>710</v>
      </c>
      <c r="B408" s="28">
        <v>15</v>
      </c>
      <c r="C408" s="28" t="s">
        <v>563</v>
      </c>
      <c r="D408" s="28" t="s">
        <v>564</v>
      </c>
      <c r="E408" s="28">
        <f>+IFERROR(VLOOKUP(A408,TB31032020!$A$11:$C$415,2,0),0)</f>
        <v>392445</v>
      </c>
      <c r="F408" s="28">
        <v>0</v>
      </c>
      <c r="G408" s="28">
        <f t="shared" si="61"/>
        <v>392445</v>
      </c>
      <c r="H408" s="28">
        <f>+IFERROR(VLOOKUP(A408,TB31032020!$A$11:$C$415,3,0),0)</f>
        <v>0</v>
      </c>
      <c r="I408" s="28">
        <v>0</v>
      </c>
      <c r="J408" s="28">
        <f t="shared" si="62"/>
        <v>0</v>
      </c>
      <c r="K408" s="28">
        <f>+IFERROR(VLOOKUP(A408,TB310320119!$A$11:$C$422,2,0),0)</f>
        <v>815743.5</v>
      </c>
      <c r="L408" s="28">
        <v>0</v>
      </c>
      <c r="M408" s="28">
        <f t="shared" si="63"/>
        <v>815743.5</v>
      </c>
      <c r="N408" s="28">
        <f>+IFERROR(VLOOKUP(A408,TB310320119!$A$11:$C$421,3,0),0)</f>
        <v>0</v>
      </c>
      <c r="O408" s="28">
        <v>0</v>
      </c>
      <c r="P408" s="28">
        <f t="shared" si="57"/>
        <v>0</v>
      </c>
      <c r="Q408" s="20">
        <f t="shared" si="64"/>
        <v>2416377</v>
      </c>
    </row>
    <row r="409" spans="1:17" ht="15" customHeight="1">
      <c r="A409" s="33" t="s">
        <v>506</v>
      </c>
      <c r="B409" s="28">
        <v>7</v>
      </c>
      <c r="C409" s="28" t="s">
        <v>561</v>
      </c>
      <c r="D409" s="28" t="s">
        <v>561</v>
      </c>
      <c r="E409" s="28">
        <f>+IFERROR(VLOOKUP(A409,TB31032020!$A$11:$C$415,2,0),0)</f>
        <v>0</v>
      </c>
      <c r="F409" s="28">
        <v>0</v>
      </c>
      <c r="G409" s="28">
        <f t="shared" si="61"/>
        <v>0</v>
      </c>
      <c r="H409" s="28">
        <f>+IFERROR(VLOOKUP(A409,TB31032020!$A$11:$C$415,3,0),0)</f>
        <v>0</v>
      </c>
      <c r="I409" s="28">
        <v>0</v>
      </c>
      <c r="J409" s="28">
        <f t="shared" si="62"/>
        <v>0</v>
      </c>
      <c r="K409" s="28">
        <f>+IFERROR(VLOOKUP(A409,TB310320119!$A$11:$C$422,2,0),0)</f>
        <v>0</v>
      </c>
      <c r="L409" s="28">
        <v>0</v>
      </c>
      <c r="M409" s="28">
        <f t="shared" si="63"/>
        <v>0</v>
      </c>
      <c r="N409" s="28">
        <f>+IFERROR(VLOOKUP(A409,TB310320119!$A$11:$C$421,3,0),0)</f>
        <v>3622</v>
      </c>
      <c r="O409" s="28">
        <v>0</v>
      </c>
      <c r="P409" s="28">
        <f t="shared" si="57"/>
        <v>3622</v>
      </c>
      <c r="Q409" s="20">
        <f t="shared" si="64"/>
        <v>7244</v>
      </c>
    </row>
    <row r="410" spans="1:17" ht="15" customHeight="1">
      <c r="A410" s="33" t="s">
        <v>319</v>
      </c>
      <c r="B410" s="28">
        <v>7</v>
      </c>
      <c r="C410" s="28" t="s">
        <v>561</v>
      </c>
      <c r="D410" s="28" t="s">
        <v>561</v>
      </c>
      <c r="E410" s="28">
        <f>+IFERROR(VLOOKUP(A410,TB31032020!$A$11:$C$415,2,0),0)</f>
        <v>0</v>
      </c>
      <c r="F410" s="28">
        <v>0</v>
      </c>
      <c r="G410" s="28">
        <f t="shared" si="61"/>
        <v>0</v>
      </c>
      <c r="H410" s="28">
        <f>+IFERROR(VLOOKUP(A410,TB31032020!$A$11:$C$415,3,0),0)</f>
        <v>879467</v>
      </c>
      <c r="I410" s="28">
        <v>0</v>
      </c>
      <c r="J410" s="28">
        <f t="shared" si="62"/>
        <v>879467</v>
      </c>
      <c r="K410" s="28">
        <f>+IFERROR(VLOOKUP(A410,TB310320119!$A$11:$C$422,2,0),0)</f>
        <v>0</v>
      </c>
      <c r="L410" s="28">
        <v>0</v>
      </c>
      <c r="M410" s="28">
        <f t="shared" si="63"/>
        <v>0</v>
      </c>
      <c r="N410" s="28">
        <f>+IFERROR(VLOOKUP(A410,TB310320119!$A$11:$C$421,3,0),0)</f>
        <v>658176</v>
      </c>
      <c r="O410" s="28">
        <v>0</v>
      </c>
      <c r="P410" s="28">
        <f t="shared" si="57"/>
        <v>658176</v>
      </c>
      <c r="Q410" s="20">
        <f t="shared" si="64"/>
        <v>3075286</v>
      </c>
    </row>
    <row r="411" spans="1:17" ht="15" customHeight="1">
      <c r="A411" s="33" t="s">
        <v>320</v>
      </c>
      <c r="B411" s="28">
        <v>8</v>
      </c>
      <c r="C411" s="28" t="s">
        <v>585</v>
      </c>
      <c r="D411" s="28" t="s">
        <v>711</v>
      </c>
      <c r="E411" s="28">
        <f>+IFERROR(VLOOKUP(A411,TB31032020!$A$11:$C$415,2,0),0)</f>
        <v>0</v>
      </c>
      <c r="F411" s="28">
        <v>0</v>
      </c>
      <c r="G411" s="28">
        <f t="shared" si="61"/>
        <v>0</v>
      </c>
      <c r="H411" s="28">
        <f>+IFERROR(VLOOKUP(A411,TB31032020!$A$11:$C$415,3,0),0)</f>
        <v>803704</v>
      </c>
      <c r="I411" s="28">
        <v>0</v>
      </c>
      <c r="J411" s="28">
        <f t="shared" si="62"/>
        <v>803704</v>
      </c>
      <c r="K411" s="28">
        <f>+IFERROR(VLOOKUP(A411,TB310320119!$A$11:$C$422,2,0),0)</f>
        <v>0</v>
      </c>
      <c r="L411" s="28">
        <v>0</v>
      </c>
      <c r="M411" s="28">
        <f t="shared" si="63"/>
        <v>0</v>
      </c>
      <c r="N411" s="28">
        <f>+IFERROR(VLOOKUP(A411,TB310320119!$A$11:$C$421,3,0),0)</f>
        <v>790876</v>
      </c>
      <c r="O411" s="28">
        <v>0</v>
      </c>
      <c r="P411" s="28">
        <f t="shared" si="57"/>
        <v>790876</v>
      </c>
      <c r="Q411" s="20">
        <f t="shared" si="64"/>
        <v>3189160</v>
      </c>
    </row>
    <row r="412" spans="1:17" ht="15" customHeight="1">
      <c r="A412" s="33" t="s">
        <v>321</v>
      </c>
      <c r="B412" s="28">
        <v>24</v>
      </c>
      <c r="C412" s="28" t="s">
        <v>579</v>
      </c>
      <c r="D412" s="28" t="s">
        <v>580</v>
      </c>
      <c r="E412" s="28">
        <f>+IFERROR(VLOOKUP(A412,TB31032020!$A$11:$C$415,2,0),0)</f>
        <v>203540</v>
      </c>
      <c r="F412" s="28">
        <v>0</v>
      </c>
      <c r="G412" s="28">
        <f t="shared" si="61"/>
        <v>203540</v>
      </c>
      <c r="H412" s="28">
        <f>+IFERROR(VLOOKUP(A412,TB31032020!$A$11:$C$415,3,0),0)</f>
        <v>0</v>
      </c>
      <c r="I412" s="28">
        <v>0</v>
      </c>
      <c r="J412" s="28">
        <f t="shared" si="62"/>
        <v>0</v>
      </c>
      <c r="K412" s="28">
        <f>+IFERROR(VLOOKUP(A412,TB310320119!$A$11:$C$422,2,0),0)</f>
        <v>0</v>
      </c>
      <c r="L412" s="28">
        <v>0</v>
      </c>
      <c r="M412" s="28">
        <f t="shared" si="63"/>
        <v>0</v>
      </c>
      <c r="N412" s="28">
        <f>+IFERROR(VLOOKUP(A412,TB310320119!$A$11:$C$421,3,0),0)</f>
        <v>0</v>
      </c>
      <c r="O412" s="28">
        <v>0</v>
      </c>
      <c r="P412" s="28">
        <f t="shared" si="57"/>
        <v>0</v>
      </c>
      <c r="Q412" s="20">
        <f t="shared" si="64"/>
        <v>407080</v>
      </c>
    </row>
    <row r="413" spans="1:17" ht="15" customHeight="1">
      <c r="A413" s="33" t="s">
        <v>713</v>
      </c>
      <c r="B413" s="28">
        <v>24</v>
      </c>
      <c r="C413" s="28" t="s">
        <v>579</v>
      </c>
      <c r="D413" s="28" t="s">
        <v>580</v>
      </c>
      <c r="E413" s="28">
        <f>+IFERROR(VLOOKUP(A413,TB31032020!$A$11:$C$415,2,0),0)</f>
        <v>1626242</v>
      </c>
      <c r="F413" s="28">
        <v>0</v>
      </c>
      <c r="G413" s="28">
        <f t="shared" si="61"/>
        <v>1626242</v>
      </c>
      <c r="H413" s="28">
        <f>+IFERROR(VLOOKUP(A413,TB31032020!$A$11:$C$415,3,0),0)</f>
        <v>0</v>
      </c>
      <c r="I413" s="28">
        <v>0</v>
      </c>
      <c r="J413" s="28">
        <f t="shared" si="62"/>
        <v>0</v>
      </c>
      <c r="K413" s="28">
        <f>+IFERROR(VLOOKUP(A413,TB310320119!$A$11:$C$422,2,0),0)</f>
        <v>2090961</v>
      </c>
      <c r="L413" s="28">
        <v>0</v>
      </c>
      <c r="M413" s="28">
        <f t="shared" si="63"/>
        <v>2090961</v>
      </c>
      <c r="N413" s="28">
        <f>+IFERROR(VLOOKUP(A413,TB310320119!$A$11:$C$421,3,0),0)</f>
        <v>0</v>
      </c>
      <c r="O413" s="28">
        <v>0</v>
      </c>
      <c r="P413" s="28">
        <f t="shared" si="57"/>
        <v>0</v>
      </c>
      <c r="Q413" s="20">
        <f t="shared" si="64"/>
        <v>7434406</v>
      </c>
    </row>
    <row r="414" spans="1:17" ht="15" customHeight="1">
      <c r="A414" s="33" t="s">
        <v>714</v>
      </c>
      <c r="B414" s="28">
        <v>24</v>
      </c>
      <c r="C414" s="28" t="s">
        <v>579</v>
      </c>
      <c r="D414" s="28" t="s">
        <v>580</v>
      </c>
      <c r="E414" s="28">
        <f>+IFERROR(VLOOKUP(A414,TB31032020!$A$11:$C$415,2,0),0)</f>
        <v>2273038</v>
      </c>
      <c r="F414" s="28">
        <v>0</v>
      </c>
      <c r="G414" s="28">
        <f t="shared" si="61"/>
        <v>2273038</v>
      </c>
      <c r="H414" s="28">
        <f>+IFERROR(VLOOKUP(A414,TB31032020!$A$11:$C$415,3,0),0)</f>
        <v>0</v>
      </c>
      <c r="I414" s="28">
        <v>0</v>
      </c>
      <c r="J414" s="28">
        <f t="shared" si="62"/>
        <v>0</v>
      </c>
      <c r="K414" s="28">
        <f>+IFERROR(VLOOKUP(A414,TB310320119!$A$11:$C$422,2,0),0)</f>
        <v>2405654</v>
      </c>
      <c r="L414" s="28">
        <v>0</v>
      </c>
      <c r="M414" s="28">
        <f t="shared" si="63"/>
        <v>2405654</v>
      </c>
      <c r="N414" s="28">
        <f>+IFERROR(VLOOKUP(A414,TB310320119!$A$11:$C$421,3,0),0)</f>
        <v>0</v>
      </c>
      <c r="O414" s="28">
        <v>0</v>
      </c>
      <c r="P414" s="28">
        <f t="shared" si="57"/>
        <v>0</v>
      </c>
      <c r="Q414" s="20">
        <f t="shared" si="64"/>
        <v>9357384</v>
      </c>
    </row>
    <row r="415" spans="1:17" ht="15" customHeight="1">
      <c r="A415" s="33" t="s">
        <v>715</v>
      </c>
      <c r="B415" s="28">
        <v>24</v>
      </c>
      <c r="C415" s="28" t="s">
        <v>579</v>
      </c>
      <c r="D415" s="28" t="s">
        <v>580</v>
      </c>
      <c r="E415" s="28">
        <f>+IFERROR(VLOOKUP(A415,TB31032020!$A$11:$C$415,2,0),0)</f>
        <v>8511335</v>
      </c>
      <c r="F415" s="28">
        <v>0</v>
      </c>
      <c r="G415" s="28">
        <f t="shared" si="61"/>
        <v>8511335</v>
      </c>
      <c r="H415" s="28">
        <f>+IFERROR(VLOOKUP(A415,TB31032020!$A$11:$C$415,3,0),0)</f>
        <v>0</v>
      </c>
      <c r="I415" s="28">
        <v>0</v>
      </c>
      <c r="J415" s="28">
        <f t="shared" si="62"/>
        <v>0</v>
      </c>
      <c r="K415" s="28">
        <f>+IFERROR(VLOOKUP(A415,TB310320119!$A$11:$C$422,2,0),0)</f>
        <v>8079596</v>
      </c>
      <c r="L415" s="28">
        <v>0</v>
      </c>
      <c r="M415" s="28">
        <f t="shared" si="63"/>
        <v>8079596</v>
      </c>
      <c r="N415" s="28">
        <f>+IFERROR(VLOOKUP(A415,TB310320119!$A$11:$C$421,3,0),0)</f>
        <v>0</v>
      </c>
      <c r="O415" s="28">
        <v>0</v>
      </c>
      <c r="P415" s="28">
        <f t="shared" si="57"/>
        <v>0</v>
      </c>
      <c r="Q415" s="20">
        <f t="shared" si="64"/>
        <v>33181862</v>
      </c>
    </row>
    <row r="416" spans="1:17" ht="15" customHeight="1">
      <c r="A416" s="33" t="s">
        <v>716</v>
      </c>
      <c r="B416" s="28">
        <v>19</v>
      </c>
      <c r="C416" s="28" t="s">
        <v>617</v>
      </c>
      <c r="D416" s="28" t="s">
        <v>618</v>
      </c>
      <c r="E416" s="28">
        <f>+IFERROR(VLOOKUP(A416,TB31032020!$A$11:$C$415,2,0),0)</f>
        <v>0</v>
      </c>
      <c r="F416" s="28">
        <v>0</v>
      </c>
      <c r="G416" s="28">
        <f t="shared" si="61"/>
        <v>0</v>
      </c>
      <c r="H416" s="28">
        <f>+IFERROR(VLOOKUP(A416,TB31032020!$A$11:$C$415,3,0),0)</f>
        <v>755246</v>
      </c>
      <c r="I416" s="28">
        <v>0</v>
      </c>
      <c r="J416" s="28">
        <f t="shared" si="62"/>
        <v>755246</v>
      </c>
      <c r="K416" s="28">
        <f>+IFERROR(VLOOKUP(A416,TB310320119!$A$11:$C$422,2,0),0)</f>
        <v>0</v>
      </c>
      <c r="L416" s="28">
        <v>0</v>
      </c>
      <c r="M416" s="28">
        <f t="shared" si="63"/>
        <v>0</v>
      </c>
      <c r="N416" s="28">
        <f>+IFERROR(VLOOKUP(A416,TB310320119!$A$11:$C$421,3,0),0)</f>
        <v>1026721.38</v>
      </c>
      <c r="O416" s="28">
        <v>0</v>
      </c>
      <c r="P416" s="28">
        <f t="shared" si="57"/>
        <v>1026721.38</v>
      </c>
      <c r="Q416" s="20">
        <f t="shared" si="64"/>
        <v>3563934.76</v>
      </c>
    </row>
    <row r="417" spans="1:17" ht="15" customHeight="1">
      <c r="A417" s="33" t="s">
        <v>325</v>
      </c>
      <c r="B417" s="28">
        <v>19</v>
      </c>
      <c r="C417" s="28" t="s">
        <v>617</v>
      </c>
      <c r="D417" s="28" t="s">
        <v>618</v>
      </c>
      <c r="E417" s="28">
        <f>+IFERROR(VLOOKUP(A417,TB31032020!$A$11:$C$415,2,0),0)</f>
        <v>0</v>
      </c>
      <c r="F417" s="28">
        <v>0</v>
      </c>
      <c r="G417" s="28">
        <f t="shared" si="61"/>
        <v>0</v>
      </c>
      <c r="H417" s="28">
        <f>+IFERROR(VLOOKUP(A417,TB31032020!$A$11:$C$415,3,0),0)</f>
        <v>609002318.29999995</v>
      </c>
      <c r="I417" s="28">
        <v>0</v>
      </c>
      <c r="J417" s="28">
        <f t="shared" si="62"/>
        <v>609002318.29999995</v>
      </c>
      <c r="K417" s="28">
        <f>+IFERROR(VLOOKUP(A417,TB310320119!$A$11:$C$422,2,0),0)</f>
        <v>0</v>
      </c>
      <c r="L417" s="28">
        <v>0</v>
      </c>
      <c r="M417" s="28">
        <f t="shared" si="63"/>
        <v>0</v>
      </c>
      <c r="N417" s="28">
        <f>+IFERROR(VLOOKUP(A417,TB310320119!$A$11:$C$421,3,0),0)</f>
        <v>681697693.20000005</v>
      </c>
      <c r="O417" s="28">
        <v>0</v>
      </c>
      <c r="P417" s="28">
        <f t="shared" si="57"/>
        <v>681697693.20000005</v>
      </c>
      <c r="Q417" s="20">
        <f t="shared" si="64"/>
        <v>2581400023</v>
      </c>
    </row>
    <row r="418" spans="1:17" ht="15" customHeight="1">
      <c r="A418" s="28" t="s">
        <v>326</v>
      </c>
      <c r="B418" s="28">
        <v>19</v>
      </c>
      <c r="C418" s="28" t="s">
        <v>617</v>
      </c>
      <c r="D418" s="28" t="s">
        <v>618</v>
      </c>
      <c r="E418" s="28">
        <f>+IFERROR(VLOOKUP(A418,TB31032020!$A$11:$C$415,2,0),0)</f>
        <v>0</v>
      </c>
      <c r="F418" s="28">
        <v>0</v>
      </c>
      <c r="G418" s="28">
        <f t="shared" si="61"/>
        <v>0</v>
      </c>
      <c r="H418" s="28">
        <f>+IFERROR(VLOOKUP(A418,TB31032020!$A$11:$C$415,3,0),0)</f>
        <v>77113878.299999997</v>
      </c>
      <c r="I418" s="28">
        <v>0</v>
      </c>
      <c r="J418" s="28">
        <f t="shared" si="62"/>
        <v>77113878.299999997</v>
      </c>
      <c r="K418" s="28">
        <f>+IFERROR(VLOOKUP(A418,TB310320119!$A$11:$C$422,2,0),0)</f>
        <v>0</v>
      </c>
      <c r="L418" s="28">
        <v>0</v>
      </c>
      <c r="M418" s="28">
        <f t="shared" si="63"/>
        <v>0</v>
      </c>
      <c r="N418" s="28">
        <f>+IFERROR(VLOOKUP(A418,TB310320119!$A$11:$C$421,3,0),0)</f>
        <v>106464666.95</v>
      </c>
      <c r="O418" s="28">
        <v>0</v>
      </c>
      <c r="P418" s="28">
        <f t="shared" si="57"/>
        <v>106464666.95</v>
      </c>
      <c r="Q418" s="20">
        <f t="shared" si="64"/>
        <v>367157090.5</v>
      </c>
    </row>
    <row r="419" spans="1:17" ht="15" customHeight="1">
      <c r="A419" s="28" t="s">
        <v>327</v>
      </c>
      <c r="B419" s="28">
        <v>19</v>
      </c>
      <c r="C419" s="28" t="s">
        <v>617</v>
      </c>
      <c r="D419" s="28" t="s">
        <v>618</v>
      </c>
      <c r="E419" s="28">
        <f>+IFERROR(VLOOKUP(A419,TB31032020!$A$11:$C$415,2,0),0)</f>
        <v>245586</v>
      </c>
      <c r="F419" s="28">
        <v>0</v>
      </c>
      <c r="G419" s="28">
        <f t="shared" si="61"/>
        <v>245586</v>
      </c>
      <c r="H419" s="28">
        <f>+IFERROR(VLOOKUP(A419,TB31032020!$A$11:$C$415,3,0),0)</f>
        <v>0</v>
      </c>
      <c r="I419" s="28">
        <v>0</v>
      </c>
      <c r="J419" s="28">
        <f t="shared" si="62"/>
        <v>0</v>
      </c>
      <c r="K419" s="28">
        <f>+IFERROR(VLOOKUP(A419,TB310320119!$A$11:$C$422,2,0),0)</f>
        <v>0</v>
      </c>
      <c r="L419" s="28">
        <v>0</v>
      </c>
      <c r="M419" s="28">
        <f t="shared" si="63"/>
        <v>0</v>
      </c>
      <c r="N419" s="28">
        <f>+IFERROR(VLOOKUP(A419,TB310320119!$A$11:$C$421,3,0),0)</f>
        <v>0</v>
      </c>
      <c r="O419" s="28">
        <v>0</v>
      </c>
      <c r="P419" s="28">
        <f t="shared" si="57"/>
        <v>0</v>
      </c>
      <c r="Q419" s="20">
        <f t="shared" si="64"/>
        <v>491172</v>
      </c>
    </row>
    <row r="420" spans="1:17" ht="15" customHeight="1">
      <c r="A420" s="42" t="s">
        <v>328</v>
      </c>
      <c r="B420" s="28">
        <v>26</v>
      </c>
      <c r="C420" s="28" t="s">
        <v>568</v>
      </c>
      <c r="D420" s="28" t="s">
        <v>569</v>
      </c>
      <c r="E420" s="28">
        <f>+IFERROR(VLOOKUP(A420,TB31032020!$A$11:$C$415,2,0),0)</f>
        <v>23653</v>
      </c>
      <c r="F420" s="28">
        <v>0</v>
      </c>
      <c r="G420" s="28">
        <f t="shared" si="61"/>
        <v>23653</v>
      </c>
      <c r="H420" s="28">
        <f>+IFERROR(VLOOKUP(A420,TB31032020!$A$11:$C$415,3,0),0)</f>
        <v>0</v>
      </c>
      <c r="I420" s="28">
        <v>0</v>
      </c>
      <c r="J420" s="28">
        <f t="shared" si="62"/>
        <v>0</v>
      </c>
      <c r="K420" s="28">
        <f>+IFERROR(VLOOKUP(A420,TB310320119!$A$11:$C$422,2,0),0)</f>
        <v>0</v>
      </c>
      <c r="L420" s="28">
        <v>0</v>
      </c>
      <c r="M420" s="28">
        <f t="shared" si="63"/>
        <v>0</v>
      </c>
      <c r="N420" s="28">
        <f>+IFERROR(VLOOKUP(A420,TB310320119!$A$11:$C$421,3,0),0)</f>
        <v>0</v>
      </c>
      <c r="O420" s="28">
        <v>0</v>
      </c>
      <c r="P420" s="28">
        <f t="shared" si="57"/>
        <v>0</v>
      </c>
      <c r="Q420" s="20">
        <f t="shared" si="64"/>
        <v>47306</v>
      </c>
    </row>
    <row r="421" spans="1:17" ht="15" customHeight="1">
      <c r="A421" s="28" t="s">
        <v>330</v>
      </c>
      <c r="B421" s="28">
        <v>4</v>
      </c>
      <c r="C421" s="28" t="s">
        <v>576</v>
      </c>
      <c r="D421" s="28" t="s">
        <v>577</v>
      </c>
      <c r="E421" s="28">
        <f>+IFERROR(VLOOKUP(A421,TB31032020!$A$11:$C$415,2,0),0)</f>
        <v>0</v>
      </c>
      <c r="F421" s="28">
        <v>0</v>
      </c>
      <c r="G421" s="28">
        <f t="shared" si="61"/>
        <v>0</v>
      </c>
      <c r="H421" s="28">
        <f>+IFERROR(VLOOKUP(A421,TB31032020!$A$11:$C$415,3,0),0)</f>
        <v>874676</v>
      </c>
      <c r="I421" s="28">
        <v>0</v>
      </c>
      <c r="J421" s="28">
        <f t="shared" si="62"/>
        <v>874676</v>
      </c>
      <c r="K421" s="28">
        <f>+IFERROR(VLOOKUP(A421,TB310320119!$A$11:$C$422,2,0),0)</f>
        <v>0</v>
      </c>
      <c r="L421" s="28">
        <v>0</v>
      </c>
      <c r="M421" s="28">
        <f t="shared" si="63"/>
        <v>0</v>
      </c>
      <c r="N421" s="28">
        <f>+IFERROR(VLOOKUP(A421,TB310320119!$A$11:$C$421,3,0),0)</f>
        <v>800000</v>
      </c>
      <c r="O421" s="28">
        <v>0</v>
      </c>
      <c r="P421" s="28">
        <f t="shared" si="57"/>
        <v>800000</v>
      </c>
      <c r="Q421" s="20">
        <f t="shared" si="64"/>
        <v>3349352</v>
      </c>
    </row>
    <row r="422" spans="1:17" ht="15" customHeight="1">
      <c r="A422" s="67" t="s">
        <v>331</v>
      </c>
      <c r="B422" s="28">
        <v>7</v>
      </c>
      <c r="C422" s="28" t="s">
        <v>561</v>
      </c>
      <c r="D422" s="28" t="s">
        <v>562</v>
      </c>
      <c r="E422" s="28">
        <f>+IFERROR(VLOOKUP(A422,TB31032020!$A$11:$C$415,2,0),0)</f>
        <v>0</v>
      </c>
      <c r="F422" s="28">
        <v>0</v>
      </c>
      <c r="G422" s="28">
        <f t="shared" si="61"/>
        <v>0</v>
      </c>
      <c r="H422" s="28">
        <f>+IFERROR(VLOOKUP(A422,TB31032020!$A$11:$C$415,3,0),0)</f>
        <v>2600</v>
      </c>
      <c r="I422" s="28">
        <v>0</v>
      </c>
      <c r="J422" s="28">
        <f t="shared" si="62"/>
        <v>2600</v>
      </c>
      <c r="K422" s="28">
        <f>+IFERROR(VLOOKUP(A422,TB310320119!$A$11:$C$422,2,0),0)</f>
        <v>0</v>
      </c>
      <c r="L422" s="28">
        <v>0</v>
      </c>
      <c r="M422" s="28">
        <f t="shared" si="63"/>
        <v>0</v>
      </c>
      <c r="N422" s="28">
        <f>+IFERROR(VLOOKUP(A422,TB310320119!$A$11:$C$421,3,0),0)</f>
        <v>0</v>
      </c>
      <c r="O422" s="28">
        <v>0</v>
      </c>
      <c r="P422" s="28">
        <f t="shared" si="57"/>
        <v>0</v>
      </c>
      <c r="Q422" s="20">
        <f t="shared" si="64"/>
        <v>5200</v>
      </c>
    </row>
    <row r="423" spans="1:17" ht="15" customHeight="1">
      <c r="A423" s="48" t="s">
        <v>507</v>
      </c>
      <c r="B423" s="28">
        <v>12</v>
      </c>
      <c r="C423" s="28" t="s">
        <v>566</v>
      </c>
      <c r="D423" s="28" t="s">
        <v>634</v>
      </c>
      <c r="E423" s="28">
        <f>+IFERROR(VLOOKUP(A423,TB31032020!$A$11:$C$415,2,0),0)</f>
        <v>0</v>
      </c>
      <c r="F423" s="28">
        <v>0</v>
      </c>
      <c r="G423" s="28">
        <f t="shared" si="61"/>
        <v>0</v>
      </c>
      <c r="H423" s="28">
        <f>+IFERROR(VLOOKUP(A423,TB31032020!$A$11:$C$415,3,0),0)</f>
        <v>0</v>
      </c>
      <c r="I423" s="28">
        <v>0</v>
      </c>
      <c r="J423" s="28">
        <f t="shared" si="62"/>
        <v>0</v>
      </c>
      <c r="K423" s="28">
        <f>+IFERROR(VLOOKUP(A423,TB310320119!$A$11:$C$422,2,0),0)</f>
        <v>21000</v>
      </c>
      <c r="L423" s="28">
        <v>0</v>
      </c>
      <c r="M423" s="28">
        <f t="shared" si="63"/>
        <v>21000</v>
      </c>
      <c r="N423" s="28">
        <f>+IFERROR(VLOOKUP(A423,TB310320119!$A$11:$C$421,3,0),0)</f>
        <v>0</v>
      </c>
      <c r="O423" s="28">
        <v>0</v>
      </c>
      <c r="P423" s="28">
        <f t="shared" si="57"/>
        <v>0</v>
      </c>
      <c r="Q423" s="20">
        <f t="shared" si="64"/>
        <v>42000</v>
      </c>
    </row>
    <row r="424" spans="1:17" ht="15" customHeight="1">
      <c r="A424" s="28" t="s">
        <v>717</v>
      </c>
      <c r="B424" s="28">
        <v>7</v>
      </c>
      <c r="C424" s="28" t="s">
        <v>561</v>
      </c>
      <c r="D424" s="28" t="s">
        <v>561</v>
      </c>
      <c r="E424" s="28">
        <f>+IFERROR(VLOOKUP(A424,TB31032020!$A$11:$C$415,2,0),0)</f>
        <v>0</v>
      </c>
      <c r="F424" s="28">
        <v>0</v>
      </c>
      <c r="G424" s="28">
        <f t="shared" si="61"/>
        <v>0</v>
      </c>
      <c r="H424" s="28">
        <f>+IFERROR(VLOOKUP(A424,TB31032020!$A$11:$C$415,3,0),0)</f>
        <v>85602</v>
      </c>
      <c r="I424" s="28">
        <v>0</v>
      </c>
      <c r="J424" s="28">
        <f t="shared" si="62"/>
        <v>85602</v>
      </c>
      <c r="K424" s="28">
        <f>+IFERROR(VLOOKUP(A424,TB310320119!$A$11:$C$422,2,0),0)</f>
        <v>0</v>
      </c>
      <c r="L424" s="28">
        <v>0</v>
      </c>
      <c r="M424" s="28">
        <f t="shared" si="63"/>
        <v>0</v>
      </c>
      <c r="N424" s="28">
        <f>+IFERROR(VLOOKUP(A424,TB310320119!$A$11:$C$421,3,0),0)</f>
        <v>48316</v>
      </c>
      <c r="O424" s="28">
        <v>0</v>
      </c>
      <c r="P424" s="28">
        <f t="shared" si="57"/>
        <v>48316</v>
      </c>
      <c r="Q424" s="20">
        <f t="shared" si="64"/>
        <v>267836</v>
      </c>
    </row>
    <row r="425" spans="1:17" ht="15" customHeight="1">
      <c r="A425" s="28" t="s">
        <v>718</v>
      </c>
      <c r="B425" s="28">
        <v>4</v>
      </c>
      <c r="C425" s="28" t="s">
        <v>576</v>
      </c>
      <c r="D425" s="28" t="s">
        <v>577</v>
      </c>
      <c r="E425" s="28">
        <f>+IFERROR(VLOOKUP(A425,TB31032020!$A$11:$C$415,2,0),0)</f>
        <v>0</v>
      </c>
      <c r="F425" s="28">
        <v>0</v>
      </c>
      <c r="G425" s="28">
        <f t="shared" si="61"/>
        <v>0</v>
      </c>
      <c r="H425" s="28">
        <f>+IFERROR(VLOOKUP(A425,TB31032020!$A$11:$C$415,3,0),0)</f>
        <v>1640020</v>
      </c>
      <c r="I425" s="28">
        <v>0</v>
      </c>
      <c r="J425" s="28">
        <f t="shared" si="62"/>
        <v>1640020</v>
      </c>
      <c r="K425" s="28">
        <f>+IFERROR(VLOOKUP(A425,TB310320119!$A$11:$C$422,2,0),0)</f>
        <v>0</v>
      </c>
      <c r="L425" s="28">
        <v>0</v>
      </c>
      <c r="M425" s="28">
        <f t="shared" si="63"/>
        <v>0</v>
      </c>
      <c r="N425" s="28">
        <f>+IFERROR(VLOOKUP(A425,TB310320119!$A$11:$C$421,3,0),0)</f>
        <v>1500000</v>
      </c>
      <c r="O425" s="28">
        <v>0</v>
      </c>
      <c r="P425" s="28">
        <f t="shared" si="57"/>
        <v>1500000</v>
      </c>
      <c r="Q425" s="20">
        <f t="shared" si="64"/>
        <v>6280040</v>
      </c>
    </row>
    <row r="426" spans="1:17" ht="15" customHeight="1">
      <c r="A426" s="33" t="s">
        <v>508</v>
      </c>
      <c r="B426" s="28">
        <v>7</v>
      </c>
      <c r="C426" s="28" t="s">
        <v>561</v>
      </c>
      <c r="D426" s="28" t="s">
        <v>561</v>
      </c>
      <c r="E426" s="28">
        <f>+IFERROR(VLOOKUP(A426,TB31032020!$A$11:$C$415,2,0),0)</f>
        <v>0</v>
      </c>
      <c r="F426" s="28">
        <v>0</v>
      </c>
      <c r="G426" s="28">
        <f t="shared" si="61"/>
        <v>0</v>
      </c>
      <c r="H426" s="28">
        <f>+IFERROR(VLOOKUP(A426,TB31032020!$A$11:$C$415,3,0),0)</f>
        <v>0</v>
      </c>
      <c r="I426" s="28">
        <v>0</v>
      </c>
      <c r="J426" s="28">
        <f t="shared" si="62"/>
        <v>0</v>
      </c>
      <c r="K426" s="28">
        <f>+IFERROR(VLOOKUP(A426,TB310320119!$A$11:$C$422,2,0),0)</f>
        <v>1120</v>
      </c>
      <c r="L426" s="28">
        <v>0</v>
      </c>
      <c r="M426" s="28">
        <f t="shared" si="63"/>
        <v>1120</v>
      </c>
      <c r="N426" s="28">
        <f>+IFERROR(VLOOKUP(A426,TB310320119!$A$11:$C$421,3,0),0)</f>
        <v>0</v>
      </c>
      <c r="O426" s="28">
        <v>0</v>
      </c>
      <c r="P426" s="28">
        <f t="shared" si="57"/>
        <v>0</v>
      </c>
      <c r="Q426" s="20">
        <f t="shared" si="64"/>
        <v>2240</v>
      </c>
    </row>
    <row r="427" spans="1:17" ht="15" customHeight="1">
      <c r="A427" s="29" t="s">
        <v>339</v>
      </c>
      <c r="B427" s="46">
        <v>3</v>
      </c>
      <c r="C427" s="28" t="s">
        <v>597</v>
      </c>
      <c r="D427" s="28" t="s">
        <v>719</v>
      </c>
      <c r="E427" s="28">
        <f>+IFERROR(VLOOKUP(A427,TB31032020!$A$11:$C$415,2,0),0)</f>
        <v>0</v>
      </c>
      <c r="F427" s="28">
        <v>0</v>
      </c>
      <c r="G427" s="28">
        <f t="shared" si="61"/>
        <v>0</v>
      </c>
      <c r="H427" s="28">
        <f>+IFERROR(VLOOKUP(A427,TB31032020!$A$11:$C$415,3,0),0)</f>
        <v>8664946</v>
      </c>
      <c r="I427" s="28">
        <v>0</v>
      </c>
      <c r="J427" s="28">
        <f t="shared" si="62"/>
        <v>8664946</v>
      </c>
      <c r="K427" s="28">
        <f>+IFERROR(VLOOKUP(A427,TB310320119!$A$11:$C$422,2,0),0)</f>
        <v>0</v>
      </c>
      <c r="L427" s="28">
        <v>0</v>
      </c>
      <c r="M427" s="28">
        <f t="shared" si="63"/>
        <v>0</v>
      </c>
      <c r="N427" s="28">
        <f>+IFERROR(VLOOKUP(A427,TB310320119!$A$11:$C$421,3,0),0)</f>
        <v>8664946</v>
      </c>
      <c r="O427" s="28">
        <v>0</v>
      </c>
      <c r="P427" s="28">
        <f t="shared" si="57"/>
        <v>8664946</v>
      </c>
      <c r="Q427" s="20">
        <f t="shared" si="64"/>
        <v>34659784</v>
      </c>
    </row>
    <row r="428" spans="1:17" ht="15" customHeight="1">
      <c r="A428" s="33" t="s">
        <v>340</v>
      </c>
      <c r="B428" s="28">
        <v>26</v>
      </c>
      <c r="C428" s="28" t="s">
        <v>568</v>
      </c>
      <c r="D428" s="28" t="s">
        <v>720</v>
      </c>
      <c r="E428" s="28">
        <f>+IFERROR(VLOOKUP(A428,TB31032020!$A$11:$C$415,2,0),0)</f>
        <v>689707</v>
      </c>
      <c r="F428" s="28">
        <v>0</v>
      </c>
      <c r="G428" s="28">
        <f t="shared" si="61"/>
        <v>689707</v>
      </c>
      <c r="H428" s="28">
        <f>+IFERROR(VLOOKUP(A428,TB31032020!$A$11:$C$415,3,0),0)</f>
        <v>0</v>
      </c>
      <c r="I428" s="28">
        <v>0</v>
      </c>
      <c r="J428" s="28">
        <f t="shared" si="62"/>
        <v>0</v>
      </c>
      <c r="K428" s="28">
        <f>+IFERROR(VLOOKUP(A428,TB310320119!$A$11:$C$422,2,0),0)</f>
        <v>693091</v>
      </c>
      <c r="L428" s="28">
        <v>0</v>
      </c>
      <c r="M428" s="28">
        <f t="shared" si="63"/>
        <v>693091</v>
      </c>
      <c r="N428" s="28">
        <f>+IFERROR(VLOOKUP(A428,TB310320119!$A$11:$C$421,3,0),0)</f>
        <v>0</v>
      </c>
      <c r="O428" s="28">
        <v>0</v>
      </c>
      <c r="P428" s="28">
        <f t="shared" si="57"/>
        <v>0</v>
      </c>
      <c r="Q428" s="20">
        <f t="shared" si="64"/>
        <v>2765596</v>
      </c>
    </row>
    <row r="429" spans="1:17" ht="15" customHeight="1">
      <c r="A429" s="33" t="s">
        <v>341</v>
      </c>
      <c r="B429" s="28">
        <v>19</v>
      </c>
      <c r="C429" s="28" t="s">
        <v>617</v>
      </c>
      <c r="D429" s="28" t="s">
        <v>618</v>
      </c>
      <c r="E429" s="28">
        <f>+IFERROR(VLOOKUP(A429,TB31032020!$A$11:$C$415,2,0),0)</f>
        <v>0</v>
      </c>
      <c r="F429" s="28">
        <v>0</v>
      </c>
      <c r="G429" s="28">
        <f t="shared" si="61"/>
        <v>0</v>
      </c>
      <c r="H429" s="28">
        <f>+IFERROR(VLOOKUP(A429,TB31032020!$A$11:$C$415,3,0),0)</f>
        <v>21264856</v>
      </c>
      <c r="I429" s="28">
        <v>0</v>
      </c>
      <c r="J429" s="28">
        <f t="shared" si="62"/>
        <v>21264856</v>
      </c>
      <c r="K429" s="28">
        <f>+IFERROR(VLOOKUP(A429,TB310320119!$A$11:$C$422,2,0),0)</f>
        <v>0</v>
      </c>
      <c r="L429" s="28">
        <v>0</v>
      </c>
      <c r="M429" s="28">
        <f t="shared" si="63"/>
        <v>0</v>
      </c>
      <c r="N429" s="28">
        <f>+IFERROR(VLOOKUP(A429,TB310320119!$A$11:$C$421,3,0),0)</f>
        <v>35395001</v>
      </c>
      <c r="O429" s="28">
        <v>0</v>
      </c>
      <c r="P429" s="28">
        <f t="shared" si="57"/>
        <v>35395001</v>
      </c>
      <c r="Q429" s="20">
        <f t="shared" si="64"/>
        <v>113319714</v>
      </c>
    </row>
    <row r="430" spans="1:17" ht="15" customHeight="1">
      <c r="A430" s="36" t="s">
        <v>342</v>
      </c>
      <c r="B430" s="28">
        <v>12</v>
      </c>
      <c r="C430" s="28" t="s">
        <v>566</v>
      </c>
      <c r="D430" s="47" t="s">
        <v>1302</v>
      </c>
      <c r="E430" s="28">
        <f>+IFERROR(VLOOKUP(A430,TB31032020!$A$11:$C$415,2,0),0)</f>
        <v>0</v>
      </c>
      <c r="F430" s="28">
        <v>0</v>
      </c>
      <c r="G430" s="28">
        <f t="shared" si="61"/>
        <v>0</v>
      </c>
      <c r="H430" s="28">
        <f>+IFERROR(VLOOKUP(A430,TB31032020!$A$11:$C$415,3,0),0)</f>
        <v>0</v>
      </c>
      <c r="I430" s="28">
        <v>0</v>
      </c>
      <c r="J430" s="28">
        <f t="shared" si="62"/>
        <v>0</v>
      </c>
      <c r="K430" s="28">
        <f>+IFERROR(VLOOKUP(A430,TB310320119!$A$11:$C$422,2,0),0)</f>
        <v>0</v>
      </c>
      <c r="L430" s="28">
        <v>0</v>
      </c>
      <c r="M430" s="28">
        <f t="shared" si="63"/>
        <v>0</v>
      </c>
      <c r="N430" s="28">
        <f>+IFERROR(VLOOKUP(A430,TB310320119!$A$11:$C$421,3,0),0)</f>
        <v>0</v>
      </c>
      <c r="O430" s="28">
        <v>0</v>
      </c>
      <c r="P430" s="28">
        <f t="shared" si="57"/>
        <v>0</v>
      </c>
      <c r="Q430" s="20">
        <f t="shared" si="64"/>
        <v>0</v>
      </c>
    </row>
    <row r="431" spans="1:17" ht="15" customHeight="1">
      <c r="A431" s="33" t="s">
        <v>510</v>
      </c>
      <c r="B431" s="28">
        <v>12</v>
      </c>
      <c r="C431" s="28" t="s">
        <v>566</v>
      </c>
      <c r="D431" s="47" t="s">
        <v>1302</v>
      </c>
      <c r="E431" s="28">
        <f>+IFERROR(VLOOKUP(A431,TB31032020!$A$11:$C$415,2,0),0)</f>
        <v>0</v>
      </c>
      <c r="F431" s="28">
        <v>0</v>
      </c>
      <c r="G431" s="28">
        <f t="shared" si="61"/>
        <v>0</v>
      </c>
      <c r="H431" s="28">
        <f>+IFERROR(VLOOKUP(A431,TB31032020!$A$11:$C$415,3,0),0)</f>
        <v>0</v>
      </c>
      <c r="I431" s="28">
        <v>0</v>
      </c>
      <c r="J431" s="28">
        <f t="shared" si="62"/>
        <v>0</v>
      </c>
      <c r="K431" s="28">
        <f>+IFERROR(VLOOKUP(A431,TB310320119!$A$11:$C$422,2,0),0)</f>
        <v>0</v>
      </c>
      <c r="L431" s="28">
        <v>0</v>
      </c>
      <c r="M431" s="28">
        <f t="shared" si="63"/>
        <v>0</v>
      </c>
      <c r="N431" s="28">
        <f>+IFERROR(VLOOKUP(A431,TB310320119!$A$11:$C$421,3,0),0)</f>
        <v>2167884.58</v>
      </c>
      <c r="O431" s="28">
        <v>0</v>
      </c>
      <c r="P431" s="28">
        <f t="shared" si="57"/>
        <v>2167884.58</v>
      </c>
      <c r="Q431" s="20">
        <f t="shared" si="64"/>
        <v>4335769.16</v>
      </c>
    </row>
    <row r="432" spans="1:17" ht="15" customHeight="1">
      <c r="A432" s="36" t="s">
        <v>343</v>
      </c>
      <c r="B432" s="28">
        <v>12</v>
      </c>
      <c r="C432" s="28" t="s">
        <v>566</v>
      </c>
      <c r="D432" s="47" t="s">
        <v>1302</v>
      </c>
      <c r="E432" s="28">
        <f>+IFERROR(VLOOKUP(A432,TB31032020!$A$11:$C$415,2,0),0)</f>
        <v>0</v>
      </c>
      <c r="F432" s="28">
        <v>0</v>
      </c>
      <c r="G432" s="28">
        <f t="shared" si="61"/>
        <v>0</v>
      </c>
      <c r="H432" s="28">
        <f>+IFERROR(VLOOKUP(A432,TB31032020!$A$11:$C$415,3,0),0)</f>
        <v>449757.14</v>
      </c>
      <c r="I432" s="28">
        <v>0</v>
      </c>
      <c r="J432" s="28">
        <f t="shared" si="62"/>
        <v>449757.14</v>
      </c>
      <c r="K432" s="28">
        <f>+IFERROR(VLOOKUP(A432,TB310320119!$A$11:$C$422,2,0),0)</f>
        <v>0</v>
      </c>
      <c r="L432" s="28">
        <v>0</v>
      </c>
      <c r="M432" s="28">
        <f t="shared" si="63"/>
        <v>0</v>
      </c>
      <c r="N432" s="28">
        <f>+IFERROR(VLOOKUP(A432,TB310320119!$A$11:$C$421,3,0),0)</f>
        <v>0</v>
      </c>
      <c r="O432" s="28">
        <v>0</v>
      </c>
      <c r="P432" s="28">
        <f t="shared" si="57"/>
        <v>0</v>
      </c>
      <c r="Q432" s="20">
        <f t="shared" si="64"/>
        <v>899514.28</v>
      </c>
    </row>
    <row r="433" spans="1:17" ht="15" customHeight="1">
      <c r="A433" s="33" t="s">
        <v>509</v>
      </c>
      <c r="B433" s="28">
        <v>12</v>
      </c>
      <c r="C433" s="28" t="s">
        <v>566</v>
      </c>
      <c r="D433" s="47" t="s">
        <v>1302</v>
      </c>
      <c r="E433" s="28">
        <f>+IFERROR(VLOOKUP(A433,TB31032020!$A$11:$C$415,2,0),0)</f>
        <v>0</v>
      </c>
      <c r="F433" s="28">
        <v>0</v>
      </c>
      <c r="G433" s="28">
        <f t="shared" si="61"/>
        <v>0</v>
      </c>
      <c r="H433" s="28">
        <f>+IFERROR(VLOOKUP(A433,TB31032020!$A$11:$C$415,3,0),0)</f>
        <v>0</v>
      </c>
      <c r="I433" s="28">
        <v>0</v>
      </c>
      <c r="J433" s="28">
        <f t="shared" si="62"/>
        <v>0</v>
      </c>
      <c r="K433" s="28">
        <f>+IFERROR(VLOOKUP(A433,TB310320119!$A$11:$C$422,2,0),0)</f>
        <v>0</v>
      </c>
      <c r="L433" s="28">
        <v>0</v>
      </c>
      <c r="M433" s="28">
        <f t="shared" si="63"/>
        <v>0</v>
      </c>
      <c r="N433" s="28">
        <f>+IFERROR(VLOOKUP(A433,TB310320119!$A$11:$C$421,3,0),0)</f>
        <v>106736.25</v>
      </c>
      <c r="O433" s="28">
        <v>0</v>
      </c>
      <c r="P433" s="28">
        <f t="shared" ref="P433:P497" si="65">N433+O433</f>
        <v>106736.25</v>
      </c>
      <c r="Q433" s="20">
        <f t="shared" si="64"/>
        <v>213472.5</v>
      </c>
    </row>
    <row r="434" spans="1:17" ht="15" customHeight="1">
      <c r="A434" s="33" t="s">
        <v>511</v>
      </c>
      <c r="B434" s="28">
        <v>7</v>
      </c>
      <c r="C434" s="28" t="s">
        <v>561</v>
      </c>
      <c r="D434" s="28" t="s">
        <v>561</v>
      </c>
      <c r="E434" s="28">
        <f>+IFERROR(VLOOKUP(A434,TB31032020!$A$11:$C$415,2,0),0)</f>
        <v>0</v>
      </c>
      <c r="F434" s="28">
        <v>0</v>
      </c>
      <c r="G434" s="28">
        <f t="shared" si="61"/>
        <v>0</v>
      </c>
      <c r="H434" s="28">
        <f>+IFERROR(VLOOKUP(A434,TB31032020!$A$11:$C$415,3,0),0)</f>
        <v>0</v>
      </c>
      <c r="I434" s="28">
        <v>0</v>
      </c>
      <c r="J434" s="28">
        <f t="shared" si="62"/>
        <v>0</v>
      </c>
      <c r="K434" s="28">
        <f>+IFERROR(VLOOKUP(A434,TB310320119!$A$11:$C$422,2,0),0)</f>
        <v>0</v>
      </c>
      <c r="L434" s="28">
        <v>0</v>
      </c>
      <c r="M434" s="28">
        <f t="shared" si="63"/>
        <v>0</v>
      </c>
      <c r="N434" s="28">
        <f>+IFERROR(VLOOKUP(A434,TB310320119!$A$11:$C$421,3,0),0)</f>
        <v>32400</v>
      </c>
      <c r="O434" s="28">
        <v>0</v>
      </c>
      <c r="P434" s="28">
        <f t="shared" si="65"/>
        <v>32400</v>
      </c>
      <c r="Q434" s="20">
        <f t="shared" si="64"/>
        <v>64800</v>
      </c>
    </row>
    <row r="435" spans="1:17" ht="15" customHeight="1">
      <c r="A435" s="33" t="s">
        <v>512</v>
      </c>
      <c r="B435" s="28">
        <v>12</v>
      </c>
      <c r="C435" s="28" t="s">
        <v>566</v>
      </c>
      <c r="D435" s="28" t="s">
        <v>634</v>
      </c>
      <c r="E435" s="28">
        <f>+IFERROR(VLOOKUP(A435,TB31032020!$A$11:$C$415,2,0),0)</f>
        <v>0</v>
      </c>
      <c r="F435" s="28">
        <v>0</v>
      </c>
      <c r="G435" s="28">
        <f t="shared" si="61"/>
        <v>0</v>
      </c>
      <c r="H435" s="28">
        <f>+IFERROR(VLOOKUP(A435,TB31032020!$A$11:$C$415,3,0),0)</f>
        <v>0</v>
      </c>
      <c r="I435" s="28">
        <v>0</v>
      </c>
      <c r="J435" s="28">
        <f t="shared" si="62"/>
        <v>0</v>
      </c>
      <c r="K435" s="28">
        <f>+IFERROR(VLOOKUP(A435,TB310320119!$A$11:$C$422,2,0),0)</f>
        <v>2852</v>
      </c>
      <c r="L435" s="28">
        <v>0</v>
      </c>
      <c r="M435" s="28">
        <f t="shared" si="63"/>
        <v>2852</v>
      </c>
      <c r="N435" s="28">
        <f>+IFERROR(VLOOKUP(A435,TB310320119!$A$11:$C$421,3,0),0)</f>
        <v>0</v>
      </c>
      <c r="O435" s="28">
        <v>0</v>
      </c>
      <c r="P435" s="28">
        <f t="shared" si="65"/>
        <v>0</v>
      </c>
      <c r="Q435" s="20">
        <f t="shared" si="64"/>
        <v>5704</v>
      </c>
    </row>
    <row r="436" spans="1:17" ht="15" customHeight="1">
      <c r="A436" s="33" t="s">
        <v>721</v>
      </c>
      <c r="B436" s="28">
        <v>7</v>
      </c>
      <c r="C436" s="28" t="s">
        <v>561</v>
      </c>
      <c r="D436" s="28" t="s">
        <v>561</v>
      </c>
      <c r="E436" s="28">
        <f>+IFERROR(VLOOKUP(A436,TB31032020!$A$11:$C$415,2,0),0)</f>
        <v>0</v>
      </c>
      <c r="F436" s="28">
        <v>0</v>
      </c>
      <c r="G436" s="28">
        <f t="shared" si="61"/>
        <v>0</v>
      </c>
      <c r="H436" s="28">
        <f>+IFERROR(VLOOKUP(A436,TB31032020!$A$11:$C$415,3,0),0)</f>
        <v>0</v>
      </c>
      <c r="I436" s="28">
        <v>0</v>
      </c>
      <c r="J436" s="28">
        <f t="shared" si="62"/>
        <v>0</v>
      </c>
      <c r="K436" s="28">
        <f>+IFERROR(VLOOKUP(A436,TB310320119!$A$11:$C$422,2,0),0)</f>
        <v>0</v>
      </c>
      <c r="L436" s="28">
        <v>0</v>
      </c>
      <c r="M436" s="28">
        <f t="shared" si="63"/>
        <v>0</v>
      </c>
      <c r="N436" s="28">
        <f>+IFERROR(VLOOKUP(A436,TB310320119!$A$11:$C$421,3,0),0)</f>
        <v>303693</v>
      </c>
      <c r="O436" s="28">
        <v>0</v>
      </c>
      <c r="P436" s="28">
        <f t="shared" si="65"/>
        <v>303693</v>
      </c>
      <c r="Q436" s="20">
        <f t="shared" si="64"/>
        <v>607386</v>
      </c>
    </row>
    <row r="437" spans="1:17" ht="15" customHeight="1">
      <c r="A437" s="33" t="s">
        <v>344</v>
      </c>
      <c r="B437" s="28">
        <v>15</v>
      </c>
      <c r="C437" s="28" t="s">
        <v>563</v>
      </c>
      <c r="D437" s="28" t="s">
        <v>564</v>
      </c>
      <c r="E437" s="28">
        <f>+IFERROR(VLOOKUP(A437,TB31032020!$A$11:$C$415,2,0),0)</f>
        <v>1153357</v>
      </c>
      <c r="F437" s="28">
        <v>0</v>
      </c>
      <c r="G437" s="28">
        <f t="shared" si="61"/>
        <v>1153357</v>
      </c>
      <c r="H437" s="28">
        <f>+IFERROR(VLOOKUP(A437,TB31032020!$A$11:$C$415,3,0),0)</f>
        <v>0</v>
      </c>
      <c r="I437" s="28">
        <v>0</v>
      </c>
      <c r="J437" s="28">
        <f t="shared" si="62"/>
        <v>0</v>
      </c>
      <c r="K437" s="28">
        <f>+IFERROR(VLOOKUP(A437,TB310320119!$A$11:$C$422,2,0),0)</f>
        <v>0</v>
      </c>
      <c r="L437" s="28">
        <v>0</v>
      </c>
      <c r="M437" s="28">
        <f t="shared" si="63"/>
        <v>0</v>
      </c>
      <c r="N437" s="28">
        <f>+IFERROR(VLOOKUP(A437,TB310320119!$A$11:$C$421,3,0),0)</f>
        <v>0</v>
      </c>
      <c r="O437" s="28">
        <v>0</v>
      </c>
      <c r="P437" s="28">
        <f t="shared" si="65"/>
        <v>0</v>
      </c>
      <c r="Q437" s="20">
        <f t="shared" si="64"/>
        <v>2306714</v>
      </c>
    </row>
    <row r="438" spans="1:17" ht="15" customHeight="1">
      <c r="A438" s="33" t="s">
        <v>722</v>
      </c>
      <c r="B438" s="28">
        <v>15</v>
      </c>
      <c r="C438" s="28" t="s">
        <v>563</v>
      </c>
      <c r="D438" s="28" t="s">
        <v>564</v>
      </c>
      <c r="E438" s="28">
        <f>+IFERROR(VLOOKUP(A438,TB31032020!$A$11:$C$415,2,0),0)</f>
        <v>0</v>
      </c>
      <c r="F438" s="28">
        <v>0</v>
      </c>
      <c r="G438" s="28">
        <f t="shared" si="61"/>
        <v>0</v>
      </c>
      <c r="H438" s="28">
        <f>+IFERROR(VLOOKUP(A438,TB31032020!$A$11:$C$415,3,0),0)</f>
        <v>0</v>
      </c>
      <c r="I438" s="28">
        <v>0</v>
      </c>
      <c r="J438" s="28">
        <f t="shared" si="62"/>
        <v>0</v>
      </c>
      <c r="K438" s="28">
        <f>+IFERROR(VLOOKUP(A438,TB310320119!$A$11:$C$422,2,0),0)</f>
        <v>1378113</v>
      </c>
      <c r="L438" s="28">
        <v>0</v>
      </c>
      <c r="M438" s="28">
        <f t="shared" si="63"/>
        <v>1378113</v>
      </c>
      <c r="N438" s="28">
        <f>+IFERROR(VLOOKUP(A438,TB310320119!$A$11:$C$421,3,0),0)</f>
        <v>0</v>
      </c>
      <c r="O438" s="28">
        <v>0</v>
      </c>
      <c r="P438" s="28">
        <f t="shared" si="65"/>
        <v>0</v>
      </c>
      <c r="Q438" s="20">
        <f t="shared" si="64"/>
        <v>2756226</v>
      </c>
    </row>
    <row r="439" spans="1:17" ht="15" customHeight="1">
      <c r="A439" s="38" t="s">
        <v>514</v>
      </c>
      <c r="B439" s="28">
        <v>7</v>
      </c>
      <c r="C439" s="28" t="s">
        <v>561</v>
      </c>
      <c r="D439" s="28" t="s">
        <v>562</v>
      </c>
      <c r="E439" s="28">
        <f>+IFERROR(VLOOKUP(A439,TB31032020!$A$11:$C$415,2,0),0)</f>
        <v>0</v>
      </c>
      <c r="F439" s="28">
        <v>0</v>
      </c>
      <c r="G439" s="28">
        <f t="shared" si="61"/>
        <v>0</v>
      </c>
      <c r="H439" s="28">
        <f>+IFERROR(VLOOKUP(A439,TB31032020!$A$11:$C$415,3,0),0)</f>
        <v>0</v>
      </c>
      <c r="I439" s="28">
        <v>0</v>
      </c>
      <c r="J439" s="28">
        <f t="shared" si="62"/>
        <v>0</v>
      </c>
      <c r="K439" s="28">
        <f>+IFERROR(VLOOKUP(A439,TB310320119!$A$11:$C$422,2,0),0)</f>
        <v>4076</v>
      </c>
      <c r="L439" s="28">
        <v>0</v>
      </c>
      <c r="M439" s="28">
        <f t="shared" si="63"/>
        <v>4076</v>
      </c>
      <c r="N439" s="28">
        <f>+IFERROR(VLOOKUP(A439,TB310320119!$A$11:$C$421,3,0),0)</f>
        <v>0</v>
      </c>
      <c r="O439" s="28">
        <v>0</v>
      </c>
      <c r="P439" s="28">
        <f t="shared" si="65"/>
        <v>0</v>
      </c>
      <c r="Q439" s="20">
        <f t="shared" si="64"/>
        <v>8152</v>
      </c>
    </row>
    <row r="440" spans="1:17" ht="15" customHeight="1">
      <c r="A440" s="67" t="s">
        <v>346</v>
      </c>
      <c r="B440" s="28">
        <v>7</v>
      </c>
      <c r="C440" s="28" t="s">
        <v>561</v>
      </c>
      <c r="D440" s="28" t="s">
        <v>562</v>
      </c>
      <c r="E440" s="28">
        <f>+IFERROR(VLOOKUP(A440,TB31032020!$A$11:$C$415,2,0),0)</f>
        <v>5552</v>
      </c>
      <c r="F440" s="28">
        <v>0</v>
      </c>
      <c r="G440" s="28">
        <f t="shared" si="61"/>
        <v>5552</v>
      </c>
      <c r="H440" s="28">
        <f>+IFERROR(VLOOKUP(A440,TB31032020!$A$11:$C$415,3,0),0)</f>
        <v>0</v>
      </c>
      <c r="I440" s="28">
        <v>0</v>
      </c>
      <c r="J440" s="28">
        <f t="shared" si="62"/>
        <v>0</v>
      </c>
      <c r="K440" s="28">
        <f>+IFERROR(VLOOKUP(A440,TB310320119!$A$11:$C$422,2,0),0)</f>
        <v>0</v>
      </c>
      <c r="L440" s="28">
        <v>0</v>
      </c>
      <c r="M440" s="28">
        <f t="shared" si="63"/>
        <v>0</v>
      </c>
      <c r="N440" s="28">
        <f>+IFERROR(VLOOKUP(A440,TB310320119!$A$11:$C$421,3,0),0)</f>
        <v>0</v>
      </c>
      <c r="O440" s="28">
        <v>0</v>
      </c>
      <c r="P440" s="28">
        <f t="shared" si="65"/>
        <v>0</v>
      </c>
      <c r="Q440" s="20">
        <f t="shared" si="64"/>
        <v>11104</v>
      </c>
    </row>
    <row r="441" spans="1:17" ht="15" customHeight="1">
      <c r="A441" s="28" t="s">
        <v>515</v>
      </c>
      <c r="B441" s="28">
        <v>7</v>
      </c>
      <c r="C441" s="28" t="s">
        <v>561</v>
      </c>
      <c r="D441" s="28" t="s">
        <v>561</v>
      </c>
      <c r="E441" s="28">
        <f>+IFERROR(VLOOKUP(A441,TB31032020!$A$11:$C$415,2,0),0)</f>
        <v>0</v>
      </c>
      <c r="F441" s="28">
        <v>0</v>
      </c>
      <c r="G441" s="28">
        <f t="shared" si="61"/>
        <v>0</v>
      </c>
      <c r="H441" s="28">
        <f>+IFERROR(VLOOKUP(A441,TB31032020!$A$11:$C$415,3,0),0)</f>
        <v>0</v>
      </c>
      <c r="I441" s="28">
        <v>0</v>
      </c>
      <c r="J441" s="28">
        <f t="shared" si="62"/>
        <v>0</v>
      </c>
      <c r="K441" s="28">
        <f>+IFERROR(VLOOKUP(A441,TB310320119!$A$11:$C$422,2,0),0)</f>
        <v>0</v>
      </c>
      <c r="L441" s="28">
        <v>0</v>
      </c>
      <c r="M441" s="28">
        <f t="shared" si="63"/>
        <v>0</v>
      </c>
      <c r="N441" s="28">
        <f>+IFERROR(VLOOKUP(A441,TB310320119!$A$11:$C$421,3,0),0)</f>
        <v>8510361.5</v>
      </c>
      <c r="O441" s="28">
        <v>0</v>
      </c>
      <c r="P441" s="28">
        <f t="shared" si="65"/>
        <v>8510361.5</v>
      </c>
      <c r="Q441" s="20">
        <f t="shared" si="64"/>
        <v>17020723</v>
      </c>
    </row>
    <row r="442" spans="1:17" ht="15" customHeight="1">
      <c r="A442" s="41" t="s">
        <v>347</v>
      </c>
      <c r="B442" s="28">
        <v>7</v>
      </c>
      <c r="C442" s="28" t="s">
        <v>561</v>
      </c>
      <c r="D442" s="28" t="s">
        <v>561</v>
      </c>
      <c r="E442" s="28">
        <f>+IFERROR(VLOOKUP(A442,TB31032020!$A$11:$C$415,2,0),0)</f>
        <v>0</v>
      </c>
      <c r="F442" s="28">
        <v>0</v>
      </c>
      <c r="G442" s="28">
        <f t="shared" si="61"/>
        <v>0</v>
      </c>
      <c r="H442" s="28">
        <f>+IFERROR(VLOOKUP(A442,TB31032020!$A$11:$C$415,3,0),0)</f>
        <v>137081</v>
      </c>
      <c r="I442" s="28">
        <v>0</v>
      </c>
      <c r="J442" s="28">
        <f t="shared" si="62"/>
        <v>137081</v>
      </c>
      <c r="K442" s="28">
        <f>+IFERROR(VLOOKUP(A442,TB310320119!$A$11:$C$422,2,0),0)</f>
        <v>0</v>
      </c>
      <c r="L442" s="28">
        <v>0</v>
      </c>
      <c r="M442" s="28">
        <f t="shared" si="63"/>
        <v>0</v>
      </c>
      <c r="N442" s="28">
        <f>+IFERROR(VLOOKUP(A442,TB310320119!$A$11:$C$421,3,0),0)</f>
        <v>127269</v>
      </c>
      <c r="O442" s="28">
        <v>0</v>
      </c>
      <c r="P442" s="28">
        <f t="shared" si="65"/>
        <v>127269</v>
      </c>
      <c r="Q442" s="20">
        <f t="shared" si="64"/>
        <v>528700</v>
      </c>
    </row>
    <row r="443" spans="1:17" ht="15" customHeight="1">
      <c r="A443" s="34" t="s">
        <v>348</v>
      </c>
      <c r="B443" s="28">
        <v>26</v>
      </c>
      <c r="C443" s="28" t="s">
        <v>568</v>
      </c>
      <c r="D443" s="28" t="s">
        <v>578</v>
      </c>
      <c r="E443" s="28">
        <f>+IFERROR(VLOOKUP(A443,TB31032020!$A$11:$C$415,2,0),0)</f>
        <v>0</v>
      </c>
      <c r="F443" s="28">
        <v>0</v>
      </c>
      <c r="G443" s="28">
        <f t="shared" si="61"/>
        <v>0</v>
      </c>
      <c r="H443" s="28">
        <f>+IFERROR(VLOOKUP(A443,TB31032020!$A$11:$C$415,3,0),0)</f>
        <v>77175</v>
      </c>
      <c r="I443" s="28">
        <v>0</v>
      </c>
      <c r="J443" s="28">
        <f t="shared" si="62"/>
        <v>77175</v>
      </c>
      <c r="K443" s="28">
        <f>+IFERROR(VLOOKUP(A443,TB310320119!$A$11:$C$422,2,0),0)</f>
        <v>0</v>
      </c>
      <c r="L443" s="28">
        <v>0</v>
      </c>
      <c r="M443" s="28">
        <f t="shared" si="63"/>
        <v>0</v>
      </c>
      <c r="N443" s="28">
        <f>+IFERROR(VLOOKUP(A443,TB310320119!$A$11:$C$421,3,0),0)</f>
        <v>0</v>
      </c>
      <c r="O443" s="28">
        <v>0</v>
      </c>
      <c r="P443" s="28">
        <f t="shared" si="65"/>
        <v>0</v>
      </c>
      <c r="Q443" s="20">
        <f t="shared" si="64"/>
        <v>154350</v>
      </c>
    </row>
    <row r="444" spans="1:17" ht="15" customHeight="1">
      <c r="A444" s="34" t="s">
        <v>349</v>
      </c>
      <c r="B444" s="28">
        <v>24</v>
      </c>
      <c r="C444" s="28" t="s">
        <v>579</v>
      </c>
      <c r="D444" s="28" t="s">
        <v>580</v>
      </c>
      <c r="E444" s="28">
        <f>+IFERROR(VLOOKUP(A444,TB31032020!$A$11:$C$415,2,0),0)</f>
        <v>140595</v>
      </c>
      <c r="F444" s="28">
        <v>0</v>
      </c>
      <c r="G444" s="28">
        <f t="shared" si="61"/>
        <v>140595</v>
      </c>
      <c r="H444" s="28">
        <f>+IFERROR(VLOOKUP(A444,TB31032020!$A$11:$C$415,3,0),0)</f>
        <v>0</v>
      </c>
      <c r="I444" s="28">
        <v>0</v>
      </c>
      <c r="J444" s="28">
        <f t="shared" si="62"/>
        <v>0</v>
      </c>
      <c r="K444" s="28">
        <f>+IFERROR(VLOOKUP(A444,TB310320119!$A$11:$C$422,2,0),0)</f>
        <v>0</v>
      </c>
      <c r="L444" s="28">
        <v>0</v>
      </c>
      <c r="M444" s="28">
        <f t="shared" si="63"/>
        <v>0</v>
      </c>
      <c r="N444" s="28">
        <f>+IFERROR(VLOOKUP(A444,TB310320119!$A$11:$C$421,3,0),0)</f>
        <v>13878</v>
      </c>
      <c r="O444" s="28">
        <v>0</v>
      </c>
      <c r="P444" s="28">
        <f t="shared" si="65"/>
        <v>13878</v>
      </c>
      <c r="Q444" s="20">
        <f t="shared" si="64"/>
        <v>308946</v>
      </c>
    </row>
    <row r="445" spans="1:17" ht="15" customHeight="1">
      <c r="A445" s="33" t="s">
        <v>350</v>
      </c>
      <c r="B445" s="28">
        <v>15</v>
      </c>
      <c r="C445" s="28" t="s">
        <v>563</v>
      </c>
      <c r="D445" s="28" t="s">
        <v>564</v>
      </c>
      <c r="E445" s="28">
        <f>+IFERROR(VLOOKUP(A445,TB31032020!$A$11:$C$415,2,0),0)</f>
        <v>2982040</v>
      </c>
      <c r="F445" s="28">
        <v>0</v>
      </c>
      <c r="G445" s="28">
        <f t="shared" si="61"/>
        <v>2982040</v>
      </c>
      <c r="H445" s="28">
        <f>+IFERROR(VLOOKUP(A445,TB31032020!$A$11:$C$415,3,0),0)</f>
        <v>0</v>
      </c>
      <c r="I445" s="28">
        <v>0</v>
      </c>
      <c r="J445" s="28">
        <f t="shared" si="62"/>
        <v>0</v>
      </c>
      <c r="K445" s="28">
        <f>+IFERROR(VLOOKUP(A445,TB310320119!$A$11:$C$422,2,0),0)</f>
        <v>2024393</v>
      </c>
      <c r="L445" s="28">
        <v>0</v>
      </c>
      <c r="M445" s="28">
        <f t="shared" si="63"/>
        <v>2024393</v>
      </c>
      <c r="N445" s="28">
        <f>+IFERROR(VLOOKUP(A445,TB310320119!$A$11:$C$421,3,0),0)</f>
        <v>0</v>
      </c>
      <c r="O445" s="28">
        <v>0</v>
      </c>
      <c r="P445" s="28">
        <f t="shared" si="65"/>
        <v>0</v>
      </c>
      <c r="Q445" s="20">
        <f t="shared" si="64"/>
        <v>10012866</v>
      </c>
    </row>
    <row r="446" spans="1:17" ht="15" customHeight="1">
      <c r="A446" s="32" t="s">
        <v>351</v>
      </c>
      <c r="B446" s="28">
        <v>15</v>
      </c>
      <c r="C446" s="28" t="s">
        <v>563</v>
      </c>
      <c r="D446" s="28" t="s">
        <v>564</v>
      </c>
      <c r="E446" s="28">
        <f>+IFERROR(VLOOKUP(A446,TB31032020!$A$11:$C$415,2,0),0)</f>
        <v>108452</v>
      </c>
      <c r="F446" s="28">
        <v>0</v>
      </c>
      <c r="G446" s="28">
        <f t="shared" si="61"/>
        <v>108452</v>
      </c>
      <c r="H446" s="28">
        <f>+IFERROR(VLOOKUP(A446,TB31032020!$A$11:$C$415,3,0),0)</f>
        <v>0</v>
      </c>
      <c r="I446" s="28">
        <v>0</v>
      </c>
      <c r="J446" s="28">
        <f t="shared" si="62"/>
        <v>0</v>
      </c>
      <c r="K446" s="28">
        <f>+IFERROR(VLOOKUP(A446,TB310320119!$A$11:$C$422,2,0),0)</f>
        <v>0</v>
      </c>
      <c r="L446" s="28">
        <v>0</v>
      </c>
      <c r="M446" s="28">
        <f t="shared" si="63"/>
        <v>0</v>
      </c>
      <c r="N446" s="28">
        <f>+IFERROR(VLOOKUP(A446,TB310320119!$A$11:$C$421,3,0),0)</f>
        <v>0</v>
      </c>
      <c r="O446" s="28">
        <v>0</v>
      </c>
      <c r="P446" s="28">
        <f t="shared" si="65"/>
        <v>0</v>
      </c>
      <c r="Q446" s="20">
        <f t="shared" si="64"/>
        <v>216904</v>
      </c>
    </row>
    <row r="447" spans="1:17" ht="15" customHeight="1">
      <c r="A447" s="30" t="s">
        <v>352</v>
      </c>
      <c r="B447" s="28">
        <v>7</v>
      </c>
      <c r="C447" s="28" t="s">
        <v>561</v>
      </c>
      <c r="D447" s="28" t="s">
        <v>561</v>
      </c>
      <c r="E447" s="28">
        <f>+IFERROR(VLOOKUP(A447,TB31032020!$A$11:$C$415,2,0),0)</f>
        <v>0</v>
      </c>
      <c r="F447" s="28">
        <v>0</v>
      </c>
      <c r="G447" s="28">
        <f t="shared" si="61"/>
        <v>0</v>
      </c>
      <c r="H447" s="28">
        <f>+IFERROR(VLOOKUP(A447,TB31032020!$A$11:$C$415,3,0),0)</f>
        <v>9167</v>
      </c>
      <c r="I447" s="28">
        <v>0</v>
      </c>
      <c r="J447" s="28">
        <f t="shared" si="62"/>
        <v>9167</v>
      </c>
      <c r="K447" s="28">
        <f>+IFERROR(VLOOKUP(A447,TB310320119!$A$11:$C$422,2,0),0)</f>
        <v>0</v>
      </c>
      <c r="L447" s="28">
        <v>0</v>
      </c>
      <c r="M447" s="28">
        <f t="shared" si="63"/>
        <v>0</v>
      </c>
      <c r="N447" s="28">
        <f>+IFERROR(VLOOKUP(A447,TB310320119!$A$11:$C$421,3,0),0)</f>
        <v>0</v>
      </c>
      <c r="O447" s="28">
        <v>0</v>
      </c>
      <c r="P447" s="28">
        <f t="shared" si="65"/>
        <v>0</v>
      </c>
      <c r="Q447" s="20">
        <f t="shared" si="64"/>
        <v>18334</v>
      </c>
    </row>
    <row r="448" spans="1:17" ht="15" customHeight="1">
      <c r="A448" s="33" t="s">
        <v>353</v>
      </c>
      <c r="B448" s="28">
        <v>7</v>
      </c>
      <c r="C448" s="28" t="s">
        <v>561</v>
      </c>
      <c r="D448" s="28" t="s">
        <v>561</v>
      </c>
      <c r="E448" s="28">
        <f>+IFERROR(VLOOKUP(A448,TB31032020!$A$11:$C$415,2,0),0)</f>
        <v>0</v>
      </c>
      <c r="F448" s="28">
        <v>0</v>
      </c>
      <c r="G448" s="28">
        <f t="shared" si="61"/>
        <v>0</v>
      </c>
      <c r="H448" s="28">
        <f>+IFERROR(VLOOKUP(A448,TB31032020!$A$11:$C$415,3,0),0)</f>
        <v>3584869</v>
      </c>
      <c r="I448" s="28">
        <v>0</v>
      </c>
      <c r="J448" s="28">
        <f t="shared" si="62"/>
        <v>3584869</v>
      </c>
      <c r="K448" s="28">
        <f>+IFERROR(VLOOKUP(A448,TB310320119!$A$11:$C$422,2,0),0)</f>
        <v>0</v>
      </c>
      <c r="L448" s="28">
        <v>0</v>
      </c>
      <c r="M448" s="28">
        <f t="shared" si="63"/>
        <v>0</v>
      </c>
      <c r="N448" s="28">
        <f>+IFERROR(VLOOKUP(A448,TB310320119!$A$11:$C$421,3,0),0)</f>
        <v>2288867</v>
      </c>
      <c r="O448" s="28">
        <v>0</v>
      </c>
      <c r="P448" s="28">
        <f t="shared" si="65"/>
        <v>2288867</v>
      </c>
      <c r="Q448" s="20">
        <f t="shared" si="64"/>
        <v>11747472</v>
      </c>
    </row>
    <row r="449" spans="1:17" ht="15" customHeight="1">
      <c r="A449" s="29" t="s">
        <v>517</v>
      </c>
      <c r="B449" s="28">
        <v>15</v>
      </c>
      <c r="C449" s="28" t="s">
        <v>563</v>
      </c>
      <c r="D449" s="28" t="s">
        <v>563</v>
      </c>
      <c r="E449" s="28">
        <f>+IFERROR(VLOOKUP(A449,TB31032020!$A$11:$C$415,2,0),0)</f>
        <v>0</v>
      </c>
      <c r="F449" s="28">
        <v>0</v>
      </c>
      <c r="G449" s="28">
        <f t="shared" si="61"/>
        <v>0</v>
      </c>
      <c r="H449" s="28">
        <f>+IFERROR(VLOOKUP(A449,TB31032020!$A$11:$C$415,3,0),0)</f>
        <v>0</v>
      </c>
      <c r="I449" s="28">
        <v>0</v>
      </c>
      <c r="J449" s="28">
        <f t="shared" si="62"/>
        <v>0</v>
      </c>
      <c r="K449" s="28">
        <f>+IFERROR(VLOOKUP(A449,TB310320119!$A$11:$C$422,2,0),0)</f>
        <v>1443909.5</v>
      </c>
      <c r="L449" s="28">
        <f>-K449</f>
        <v>-1443909.5</v>
      </c>
      <c r="M449" s="28">
        <f t="shared" si="63"/>
        <v>0</v>
      </c>
      <c r="N449" s="28">
        <f>+IFERROR(VLOOKUP(A449,TB310320119!$A$11:$C$421,3,0),0)</f>
        <v>0</v>
      </c>
      <c r="O449" s="28">
        <v>0</v>
      </c>
      <c r="P449" s="28">
        <f t="shared" si="65"/>
        <v>0</v>
      </c>
      <c r="Q449" s="20">
        <f t="shared" si="64"/>
        <v>0</v>
      </c>
    </row>
    <row r="450" spans="1:17" ht="15" customHeight="1">
      <c r="A450" s="45" t="s">
        <v>516</v>
      </c>
      <c r="B450" s="28">
        <v>15</v>
      </c>
      <c r="C450" s="28" t="s">
        <v>563</v>
      </c>
      <c r="D450" s="28" t="s">
        <v>564</v>
      </c>
      <c r="E450" s="28">
        <f>+IFERROR(VLOOKUP(A450,TB31032020!$A$11:$C$415,2,0),0)</f>
        <v>0</v>
      </c>
      <c r="F450" s="28">
        <v>0</v>
      </c>
      <c r="G450" s="28">
        <f t="shared" si="61"/>
        <v>0</v>
      </c>
      <c r="H450" s="28">
        <f>+IFERROR(VLOOKUP(A450,TB31032020!$A$11:$C$415,3,0),0)</f>
        <v>0</v>
      </c>
      <c r="I450" s="28">
        <v>0</v>
      </c>
      <c r="J450" s="28">
        <f t="shared" si="62"/>
        <v>0</v>
      </c>
      <c r="K450" s="28">
        <f>+IFERROR(VLOOKUP(A450,TB310320119!$A$11:$C$422,2,0),0)</f>
        <v>175720</v>
      </c>
      <c r="L450" s="28">
        <v>0</v>
      </c>
      <c r="M450" s="28">
        <f t="shared" si="63"/>
        <v>175720</v>
      </c>
      <c r="N450" s="28">
        <f>+IFERROR(VLOOKUP(A450,TB310320119!$A$11:$C$421,3,0),0)</f>
        <v>0</v>
      </c>
      <c r="O450" s="28">
        <v>0</v>
      </c>
      <c r="P450" s="28">
        <f t="shared" si="65"/>
        <v>0</v>
      </c>
      <c r="Q450" s="20">
        <f t="shared" si="64"/>
        <v>351440</v>
      </c>
    </row>
    <row r="451" spans="1:17" ht="15" customHeight="1">
      <c r="A451" s="33" t="s">
        <v>518</v>
      </c>
      <c r="B451" s="28">
        <v>15</v>
      </c>
      <c r="C451" s="28" t="s">
        <v>563</v>
      </c>
      <c r="D451" s="28" t="s">
        <v>564</v>
      </c>
      <c r="E451" s="28">
        <f>+IFERROR(VLOOKUP(A451,TB31032020!$A$11:$C$415,2,0),0)</f>
        <v>0</v>
      </c>
      <c r="F451" s="28">
        <v>0</v>
      </c>
      <c r="G451" s="28">
        <f t="shared" si="61"/>
        <v>0</v>
      </c>
      <c r="H451" s="28">
        <f>+IFERROR(VLOOKUP(A451,TB31032020!$A$11:$C$415,3,0),0)</f>
        <v>0</v>
      </c>
      <c r="I451" s="28">
        <v>0</v>
      </c>
      <c r="J451" s="28">
        <f t="shared" si="62"/>
        <v>0</v>
      </c>
      <c r="K451" s="28">
        <f>+IFERROR(VLOOKUP(A451,TB310320119!$A$11:$C$422,2,0),0)</f>
        <v>398247</v>
      </c>
      <c r="L451" s="28">
        <v>0</v>
      </c>
      <c r="M451" s="28">
        <f t="shared" si="63"/>
        <v>398247</v>
      </c>
      <c r="N451" s="28">
        <f>+IFERROR(VLOOKUP(A451,TB310320119!$A$11:$C$421,3,0),0)</f>
        <v>0</v>
      </c>
      <c r="O451" s="28">
        <v>0</v>
      </c>
      <c r="P451" s="28">
        <f t="shared" si="65"/>
        <v>0</v>
      </c>
      <c r="Q451" s="20">
        <f t="shared" si="64"/>
        <v>796494</v>
      </c>
    </row>
    <row r="452" spans="1:17" ht="15" customHeight="1">
      <c r="A452" s="33" t="s">
        <v>354</v>
      </c>
      <c r="B452" s="28">
        <v>7</v>
      </c>
      <c r="C452" s="28" t="s">
        <v>561</v>
      </c>
      <c r="D452" s="28" t="s">
        <v>561</v>
      </c>
      <c r="E452" s="28">
        <f>+IFERROR(VLOOKUP(A452,TB31032020!$A$11:$C$415,2,0),0)</f>
        <v>0</v>
      </c>
      <c r="F452" s="28">
        <v>0</v>
      </c>
      <c r="G452" s="28">
        <f t="shared" si="61"/>
        <v>0</v>
      </c>
      <c r="H452" s="28">
        <f>+IFERROR(VLOOKUP(A452,TB31032020!$A$11:$C$415,3,0),0)</f>
        <v>145449</v>
      </c>
      <c r="I452" s="28">
        <v>0</v>
      </c>
      <c r="J452" s="28">
        <f t="shared" si="62"/>
        <v>145449</v>
      </c>
      <c r="K452" s="28">
        <f>+IFERROR(VLOOKUP(A452,TB310320119!$A$11:$C$422,2,0),0)</f>
        <v>0</v>
      </c>
      <c r="L452" s="28">
        <v>0</v>
      </c>
      <c r="M452" s="28">
        <f t="shared" si="63"/>
        <v>0</v>
      </c>
      <c r="N452" s="28">
        <f>+IFERROR(VLOOKUP(A452,TB310320119!$A$11:$C$421,3,0),0)</f>
        <v>194140</v>
      </c>
      <c r="O452" s="28">
        <v>0</v>
      </c>
      <c r="P452" s="28">
        <f t="shared" si="65"/>
        <v>194140</v>
      </c>
      <c r="Q452" s="20">
        <f t="shared" si="64"/>
        <v>679178</v>
      </c>
    </row>
    <row r="453" spans="1:17" ht="15" customHeight="1">
      <c r="A453" s="36" t="s">
        <v>355</v>
      </c>
      <c r="B453" s="28">
        <v>26</v>
      </c>
      <c r="C453" s="28" t="s">
        <v>568</v>
      </c>
      <c r="D453" s="28" t="s">
        <v>578</v>
      </c>
      <c r="E453" s="28">
        <f>+IFERROR(VLOOKUP(A453,TB31032020!$A$11:$C$415,2,0),0)</f>
        <v>374511.51</v>
      </c>
      <c r="F453" s="28">
        <v>0</v>
      </c>
      <c r="G453" s="28">
        <f t="shared" si="61"/>
        <v>374511.51</v>
      </c>
      <c r="H453" s="28">
        <f>+IFERROR(VLOOKUP(A453,TB31032020!$A$11:$C$415,3,0),0)</f>
        <v>0</v>
      </c>
      <c r="I453" s="28">
        <v>0</v>
      </c>
      <c r="J453" s="28">
        <f t="shared" si="62"/>
        <v>0</v>
      </c>
      <c r="K453" s="28">
        <f>+IFERROR(VLOOKUP(A453,TB310320119!$A$11:$C$422,2,0),0)</f>
        <v>0</v>
      </c>
      <c r="L453" s="28">
        <v>0</v>
      </c>
      <c r="M453" s="28">
        <f t="shared" si="63"/>
        <v>0</v>
      </c>
      <c r="N453" s="28">
        <f>+IFERROR(VLOOKUP(A453,TB310320119!$A$11:$C$421,3,0),0)</f>
        <v>0</v>
      </c>
      <c r="O453" s="28">
        <v>0</v>
      </c>
      <c r="P453" s="28">
        <f t="shared" si="65"/>
        <v>0</v>
      </c>
      <c r="Q453" s="20">
        <f t="shared" si="64"/>
        <v>749023.02</v>
      </c>
    </row>
    <row r="454" spans="1:17" ht="15" customHeight="1">
      <c r="A454" s="34" t="s">
        <v>356</v>
      </c>
      <c r="B454" s="28">
        <v>19</v>
      </c>
      <c r="C454" s="28" t="s">
        <v>617</v>
      </c>
      <c r="D454" s="28" t="s">
        <v>618</v>
      </c>
      <c r="E454" s="28">
        <f>+IFERROR(VLOOKUP(A454,TB31032020!$A$11:$C$415,2,0),0)</f>
        <v>100400</v>
      </c>
      <c r="F454" s="28">
        <v>0</v>
      </c>
      <c r="G454" s="28">
        <f t="shared" si="61"/>
        <v>100400</v>
      </c>
      <c r="H454" s="28">
        <f>+IFERROR(VLOOKUP(A454,TB31032020!$A$11:$C$415,3,0),0)</f>
        <v>0</v>
      </c>
      <c r="I454" s="28">
        <v>0</v>
      </c>
      <c r="J454" s="28">
        <f t="shared" si="62"/>
        <v>0</v>
      </c>
      <c r="K454" s="28">
        <f>+IFERROR(VLOOKUP(A454,TB310320119!$A$11:$C$422,2,0),0)</f>
        <v>116242.2</v>
      </c>
      <c r="L454" s="28">
        <v>0</v>
      </c>
      <c r="M454" s="28">
        <f t="shared" si="63"/>
        <v>116242.2</v>
      </c>
      <c r="N454" s="28">
        <f>+IFERROR(VLOOKUP(A454,TB310320119!$A$11:$C$421,3,0),0)</f>
        <v>0</v>
      </c>
      <c r="O454" s="28">
        <v>0</v>
      </c>
      <c r="P454" s="28">
        <f t="shared" si="65"/>
        <v>0</v>
      </c>
      <c r="Q454" s="20">
        <f t="shared" si="64"/>
        <v>433284.4</v>
      </c>
    </row>
    <row r="455" spans="1:17" ht="15" customHeight="1">
      <c r="A455" s="33" t="s">
        <v>357</v>
      </c>
      <c r="B455" s="28">
        <v>4</v>
      </c>
      <c r="C455" s="28" t="s">
        <v>576</v>
      </c>
      <c r="D455" s="28" t="s">
        <v>577</v>
      </c>
      <c r="E455" s="28">
        <f>+IFERROR(VLOOKUP(A455,TB31032020!$A$11:$C$415,2,0),0)</f>
        <v>0</v>
      </c>
      <c r="F455" s="28">
        <v>0</v>
      </c>
      <c r="G455" s="28">
        <f t="shared" ref="G455:G519" si="66">+E455+F455</f>
        <v>0</v>
      </c>
      <c r="H455" s="28">
        <f>+IFERROR(VLOOKUP(A455,TB31032020!$A$11:$C$415,3,0),0)</f>
        <v>1749357</v>
      </c>
      <c r="I455" s="28">
        <v>0</v>
      </c>
      <c r="J455" s="28">
        <f t="shared" ref="J455:J519" si="67">+H455+I455</f>
        <v>1749357</v>
      </c>
      <c r="K455" s="28">
        <f>+IFERROR(VLOOKUP(A455,TB310320119!$A$11:$C$422,2,0),0)</f>
        <v>0</v>
      </c>
      <c r="L455" s="28">
        <v>0</v>
      </c>
      <c r="M455" s="28">
        <f t="shared" si="63"/>
        <v>0</v>
      </c>
      <c r="N455" s="28">
        <f>+IFERROR(VLOOKUP(A455,TB310320119!$A$11:$C$421,3,0),0)</f>
        <v>1600001</v>
      </c>
      <c r="O455" s="28">
        <v>0</v>
      </c>
      <c r="P455" s="28">
        <f t="shared" si="65"/>
        <v>1600001</v>
      </c>
      <c r="Q455" s="20">
        <f t="shared" si="64"/>
        <v>6698716</v>
      </c>
    </row>
    <row r="456" spans="1:17" ht="15" customHeight="1">
      <c r="A456" s="30" t="s">
        <v>358</v>
      </c>
      <c r="B456" s="28">
        <v>7</v>
      </c>
      <c r="C456" s="28" t="s">
        <v>561</v>
      </c>
      <c r="D456" s="28" t="s">
        <v>561</v>
      </c>
      <c r="E456" s="28">
        <f>+IFERROR(VLOOKUP(A456,TB31032020!$A$11:$C$415,2,0),0)</f>
        <v>0</v>
      </c>
      <c r="F456" s="28">
        <v>0</v>
      </c>
      <c r="G456" s="28">
        <f t="shared" si="66"/>
        <v>0</v>
      </c>
      <c r="H456" s="28">
        <f>+IFERROR(VLOOKUP(A456,TB31032020!$A$11:$C$415,3,0),0)</f>
        <v>16225</v>
      </c>
      <c r="I456" s="28">
        <v>0</v>
      </c>
      <c r="J456" s="28">
        <f t="shared" si="67"/>
        <v>16225</v>
      </c>
      <c r="K456" s="28">
        <f>+IFERROR(VLOOKUP(A456,TB310320119!$A$11:$C$422,2,0),0)</f>
        <v>0</v>
      </c>
      <c r="L456" s="28">
        <v>0</v>
      </c>
      <c r="M456" s="28">
        <f t="shared" si="63"/>
        <v>0</v>
      </c>
      <c r="N456" s="28">
        <f>+IFERROR(VLOOKUP(A456,TB310320119!$A$11:$C$421,3,0),0)</f>
        <v>0</v>
      </c>
      <c r="O456" s="28">
        <v>0</v>
      </c>
      <c r="P456" s="28">
        <f t="shared" si="65"/>
        <v>0</v>
      </c>
      <c r="Q456" s="20">
        <f t="shared" si="64"/>
        <v>32450</v>
      </c>
    </row>
    <row r="457" spans="1:17" ht="15" customHeight="1">
      <c r="A457" s="29" t="s">
        <v>520</v>
      </c>
      <c r="B457" s="28">
        <v>15</v>
      </c>
      <c r="C457" s="28" t="s">
        <v>563</v>
      </c>
      <c r="D457" s="28" t="s">
        <v>563</v>
      </c>
      <c r="E457" s="28">
        <f>+IFERROR(VLOOKUP(A457,TB31032020!$A$11:$C$415,2,0),0)</f>
        <v>0</v>
      </c>
      <c r="F457" s="28">
        <v>0</v>
      </c>
      <c r="G457" s="28">
        <f t="shared" si="66"/>
        <v>0</v>
      </c>
      <c r="H457" s="28">
        <f>+IFERROR(VLOOKUP(A457,TB31032020!$A$11:$C$415,3,0),0)</f>
        <v>0</v>
      </c>
      <c r="I457" s="28">
        <v>0</v>
      </c>
      <c r="J457" s="28">
        <f t="shared" si="67"/>
        <v>0</v>
      </c>
      <c r="K457" s="28">
        <f>+IFERROR(VLOOKUP(A457,TB310320119!$A$11:$C$422,2,0),0)</f>
        <v>1247028</v>
      </c>
      <c r="L457" s="28">
        <f>-K457</f>
        <v>-1247028</v>
      </c>
      <c r="M457" s="28">
        <f t="shared" si="63"/>
        <v>0</v>
      </c>
      <c r="N457" s="28">
        <f>+IFERROR(VLOOKUP(A457,TB310320119!$A$11:$C$421,3,0),0)</f>
        <v>0</v>
      </c>
      <c r="O457" s="28">
        <v>0</v>
      </c>
      <c r="P457" s="28">
        <f t="shared" si="65"/>
        <v>0</v>
      </c>
      <c r="Q457" s="20">
        <f t="shared" si="64"/>
        <v>0</v>
      </c>
    </row>
    <row r="458" spans="1:17" ht="15" customHeight="1">
      <c r="A458" s="33" t="s">
        <v>359</v>
      </c>
      <c r="B458" s="28">
        <v>8</v>
      </c>
      <c r="C458" s="28" t="s">
        <v>585</v>
      </c>
      <c r="D458" s="28" t="s">
        <v>603</v>
      </c>
      <c r="E458" s="28">
        <f>+IFERROR(VLOOKUP(A458,TB31032020!$A$11:$C$415,2,0),0)</f>
        <v>0</v>
      </c>
      <c r="F458" s="28">
        <v>0</v>
      </c>
      <c r="G458" s="28">
        <f t="shared" si="66"/>
        <v>0</v>
      </c>
      <c r="H458" s="28">
        <f>+IFERROR(VLOOKUP(A458,TB31032020!$A$11:$C$415,3,0),0)</f>
        <v>10225</v>
      </c>
      <c r="I458" s="28">
        <v>0</v>
      </c>
      <c r="J458" s="28">
        <f t="shared" si="67"/>
        <v>10225</v>
      </c>
      <c r="K458" s="28">
        <f>+IFERROR(VLOOKUP(A458,TB310320119!$A$11:$C$422,2,0),0)</f>
        <v>0</v>
      </c>
      <c r="L458" s="28">
        <v>0</v>
      </c>
      <c r="M458" s="28">
        <f t="shared" si="63"/>
        <v>0</v>
      </c>
      <c r="N458" s="28">
        <f>+IFERROR(VLOOKUP(A458,TB310320119!$A$11:$C$421,3,0),0)</f>
        <v>10825</v>
      </c>
      <c r="O458" s="28">
        <v>0</v>
      </c>
      <c r="P458" s="28">
        <f t="shared" si="65"/>
        <v>10825</v>
      </c>
      <c r="Q458" s="20">
        <f t="shared" si="64"/>
        <v>42100</v>
      </c>
    </row>
    <row r="459" spans="1:17" ht="15" customHeight="1">
      <c r="A459" s="33" t="s">
        <v>675</v>
      </c>
      <c r="B459" s="28">
        <v>24</v>
      </c>
      <c r="C459" s="28" t="s">
        <v>579</v>
      </c>
      <c r="D459" s="28" t="s">
        <v>675</v>
      </c>
      <c r="E459" s="28">
        <f>+IFERROR(VLOOKUP(A459,TB31032020!$A$11:$C$415,2,0),0)</f>
        <v>0</v>
      </c>
      <c r="F459" s="28">
        <v>0</v>
      </c>
      <c r="G459" s="28">
        <f t="shared" si="66"/>
        <v>0</v>
      </c>
      <c r="H459" s="28">
        <f>+IFERROR(VLOOKUP(A459,TB31032020!$A$11:$C$415,3,0),0)</f>
        <v>0</v>
      </c>
      <c r="I459" s="28">
        <v>0</v>
      </c>
      <c r="J459" s="28">
        <f t="shared" si="67"/>
        <v>0</v>
      </c>
      <c r="K459" s="28">
        <f>+IFERROR(VLOOKUP(A459,TB310320119!$A$11:$C$422,2,0),0)</f>
        <v>26048</v>
      </c>
      <c r="L459" s="28">
        <v>0</v>
      </c>
      <c r="M459" s="28">
        <f t="shared" si="63"/>
        <v>26048</v>
      </c>
      <c r="N459" s="28">
        <f>+IFERROR(VLOOKUP(A459,TB310320119!$A$11:$C$421,3,0),0)</f>
        <v>0</v>
      </c>
      <c r="O459" s="28">
        <v>0</v>
      </c>
      <c r="P459" s="28">
        <f t="shared" si="65"/>
        <v>0</v>
      </c>
      <c r="Q459" s="20">
        <f t="shared" si="64"/>
        <v>52096</v>
      </c>
    </row>
    <row r="460" spans="1:17" ht="15" customHeight="1">
      <c r="A460" s="33" t="s">
        <v>723</v>
      </c>
      <c r="B460" s="28">
        <v>6</v>
      </c>
      <c r="C460" s="28" t="s">
        <v>645</v>
      </c>
      <c r="D460" s="28" t="s">
        <v>724</v>
      </c>
      <c r="E460" s="28">
        <f>+IFERROR(VLOOKUP(A460,TB31032020!$A$11:$C$415,2,0),0)</f>
        <v>0</v>
      </c>
      <c r="F460" s="28">
        <v>0</v>
      </c>
      <c r="G460" s="28">
        <f t="shared" si="66"/>
        <v>0</v>
      </c>
      <c r="H460" s="28">
        <f>+IFERROR(VLOOKUP(A460,TB31032020!$A$11:$C$415,3,0),0)</f>
        <v>61843530.590000004</v>
      </c>
      <c r="I460" s="28">
        <v>0</v>
      </c>
      <c r="J460" s="28">
        <f t="shared" si="67"/>
        <v>61843530.590000004</v>
      </c>
      <c r="K460" s="28">
        <f>+IFERROR(VLOOKUP(A460,TB310320119!$A$11:$C$422,2,0),0)</f>
        <v>0</v>
      </c>
      <c r="L460" s="28">
        <v>0</v>
      </c>
      <c r="M460" s="28">
        <f t="shared" si="63"/>
        <v>0</v>
      </c>
      <c r="N460" s="28">
        <f>+IFERROR(VLOOKUP(A460,TB310320119!$A$11:$C$421,3,0),0)</f>
        <v>55675684.390000001</v>
      </c>
      <c r="O460" s="28">
        <v>0</v>
      </c>
      <c r="P460" s="28">
        <f t="shared" si="65"/>
        <v>55675684.390000001</v>
      </c>
      <c r="Q460" s="20">
        <f t="shared" si="64"/>
        <v>235038429.95999998</v>
      </c>
    </row>
    <row r="461" spans="1:17" ht="15" customHeight="1">
      <c r="A461" s="33" t="s">
        <v>361</v>
      </c>
      <c r="B461" s="28">
        <v>26</v>
      </c>
      <c r="C461" s="28" t="s">
        <v>568</v>
      </c>
      <c r="D461" s="28" t="s">
        <v>605</v>
      </c>
      <c r="E461" s="28">
        <f>+IFERROR(VLOOKUP(A461,TB31032020!$A$11:$C$415,2,0),0)</f>
        <v>5558970</v>
      </c>
      <c r="F461" s="28">
        <v>0</v>
      </c>
      <c r="G461" s="28">
        <f t="shared" si="66"/>
        <v>5558970</v>
      </c>
      <c r="H461" s="28">
        <f>+IFERROR(VLOOKUP(A461,TB31032020!$A$11:$C$415,3,0),0)</f>
        <v>0</v>
      </c>
      <c r="I461" s="28">
        <v>0</v>
      </c>
      <c r="J461" s="28">
        <f t="shared" si="67"/>
        <v>0</v>
      </c>
      <c r="K461" s="28">
        <f>+IFERROR(VLOOKUP(A461,TB310320119!$A$11:$C$422,2,0),0)</f>
        <v>5413556</v>
      </c>
      <c r="L461" s="28">
        <v>0</v>
      </c>
      <c r="M461" s="28">
        <f t="shared" si="63"/>
        <v>5413556</v>
      </c>
      <c r="N461" s="28">
        <f>+IFERROR(VLOOKUP(A461,TB310320119!$A$11:$C$421,3,0),0)</f>
        <v>0</v>
      </c>
      <c r="O461" s="28">
        <v>0</v>
      </c>
      <c r="P461" s="28">
        <f t="shared" si="65"/>
        <v>0</v>
      </c>
      <c r="Q461" s="20">
        <f t="shared" si="64"/>
        <v>21945052</v>
      </c>
    </row>
    <row r="462" spans="1:17" ht="15" customHeight="1">
      <c r="A462" s="33" t="s">
        <v>725</v>
      </c>
      <c r="B462" s="28">
        <v>26</v>
      </c>
      <c r="C462" s="28" t="s">
        <v>568</v>
      </c>
      <c r="D462" s="28" t="s">
        <v>726</v>
      </c>
      <c r="E462" s="28">
        <f>+IFERROR(VLOOKUP(A462,TB31032020!$A$11:$C$415,2,0),0)</f>
        <v>237277.27</v>
      </c>
      <c r="F462" s="28">
        <v>0</v>
      </c>
      <c r="G462" s="28">
        <f t="shared" si="66"/>
        <v>237277.27</v>
      </c>
      <c r="H462" s="28">
        <f>+IFERROR(VLOOKUP(A462,TB31032020!$A$11:$C$415,3,0),0)</f>
        <v>0</v>
      </c>
      <c r="I462" s="28">
        <v>0</v>
      </c>
      <c r="J462" s="28">
        <f t="shared" si="67"/>
        <v>0</v>
      </c>
      <c r="K462" s="28">
        <f>+IFERROR(VLOOKUP(A462,TB310320119!$A$11:$C$422,2,0),0)</f>
        <v>202817.87</v>
      </c>
      <c r="L462" s="28">
        <v>0</v>
      </c>
      <c r="M462" s="28">
        <f t="shared" si="63"/>
        <v>202817.87</v>
      </c>
      <c r="N462" s="28">
        <f>+IFERROR(VLOOKUP(A462,TB310320119!$A$11:$C$421,3,0),0)</f>
        <v>0</v>
      </c>
      <c r="O462" s="28">
        <v>0</v>
      </c>
      <c r="P462" s="28">
        <f t="shared" si="65"/>
        <v>0</v>
      </c>
      <c r="Q462" s="20">
        <f t="shared" si="64"/>
        <v>880190.27999999991</v>
      </c>
    </row>
    <row r="463" spans="1:17" ht="15" customHeight="1">
      <c r="A463" s="34" t="s">
        <v>363</v>
      </c>
      <c r="B463" s="28">
        <v>26</v>
      </c>
      <c r="C463" s="28" t="s">
        <v>568</v>
      </c>
      <c r="D463" s="28" t="s">
        <v>587</v>
      </c>
      <c r="E463" s="28">
        <f>+IFERROR(VLOOKUP(A463,TB31032020!$A$11:$C$415,2,0),0)</f>
        <v>275000</v>
      </c>
      <c r="F463" s="28">
        <v>0</v>
      </c>
      <c r="G463" s="28">
        <f t="shared" si="66"/>
        <v>275000</v>
      </c>
      <c r="H463" s="28">
        <f>+IFERROR(VLOOKUP(A463,TB31032020!$A$11:$C$415,3,0),0)</f>
        <v>0</v>
      </c>
      <c r="I463" s="28">
        <v>0</v>
      </c>
      <c r="J463" s="28">
        <f t="shared" si="67"/>
        <v>0</v>
      </c>
      <c r="K463" s="28">
        <f>+IFERROR(VLOOKUP(A463,TB310320119!$A$11:$C$422,2,0),0)</f>
        <v>250000</v>
      </c>
      <c r="L463" s="28">
        <v>0</v>
      </c>
      <c r="M463" s="28">
        <f t="shared" si="63"/>
        <v>250000</v>
      </c>
      <c r="N463" s="28">
        <f>+IFERROR(VLOOKUP(A463,TB310320119!$A$11:$C$421,3,0),0)</f>
        <v>0</v>
      </c>
      <c r="O463" s="28">
        <v>0</v>
      </c>
      <c r="P463" s="28">
        <f t="shared" si="65"/>
        <v>0</v>
      </c>
      <c r="Q463" s="20">
        <f t="shared" si="64"/>
        <v>1050000</v>
      </c>
    </row>
    <row r="464" spans="1:17" ht="15" customHeight="1">
      <c r="A464" s="33" t="s">
        <v>522</v>
      </c>
      <c r="B464" s="28">
        <v>25</v>
      </c>
      <c r="C464" s="28" t="s">
        <v>589</v>
      </c>
      <c r="D464" s="28" t="s">
        <v>590</v>
      </c>
      <c r="E464" s="28">
        <f>+IFERROR(VLOOKUP(A464,TB31032020!$A$11:$C$415,2,0),0)</f>
        <v>0</v>
      </c>
      <c r="F464" s="28">
        <v>0</v>
      </c>
      <c r="G464" s="28">
        <f t="shared" si="66"/>
        <v>0</v>
      </c>
      <c r="H464" s="28">
        <f>+IFERROR(VLOOKUP(A464,TB31032020!$A$11:$C$415,3,0),0)</f>
        <v>0</v>
      </c>
      <c r="I464" s="28">
        <v>0</v>
      </c>
      <c r="J464" s="28">
        <f t="shared" si="67"/>
        <v>0</v>
      </c>
      <c r="K464" s="28">
        <f>+IFERROR(VLOOKUP(A464,TB310320119!$A$11:$C$422,2,0),0)</f>
        <v>20000</v>
      </c>
      <c r="L464" s="28">
        <v>0</v>
      </c>
      <c r="M464" s="28">
        <f t="shared" si="63"/>
        <v>20000</v>
      </c>
      <c r="N464" s="28">
        <f>+IFERROR(VLOOKUP(A464,TB310320119!$A$11:$C$421,3,0),0)</f>
        <v>0</v>
      </c>
      <c r="O464" s="28">
        <v>0</v>
      </c>
      <c r="P464" s="28">
        <f t="shared" si="65"/>
        <v>0</v>
      </c>
      <c r="Q464" s="20">
        <f t="shared" si="64"/>
        <v>40000</v>
      </c>
    </row>
    <row r="465" spans="1:17" ht="15" customHeight="1">
      <c r="A465" s="40" t="s">
        <v>727</v>
      </c>
      <c r="B465" s="28">
        <v>12</v>
      </c>
      <c r="C465" s="28" t="s">
        <v>566</v>
      </c>
      <c r="D465" s="28" t="s">
        <v>634</v>
      </c>
      <c r="E465" s="28">
        <f>+IFERROR(VLOOKUP(A465,TB31032020!$A$11:$C$415,2,0),0)</f>
        <v>73000</v>
      </c>
      <c r="F465" s="28">
        <v>0</v>
      </c>
      <c r="G465" s="28">
        <f t="shared" si="66"/>
        <v>73000</v>
      </c>
      <c r="H465" s="28">
        <f>+IFERROR(VLOOKUP(A465,TB31032020!$A$11:$C$415,3,0),0)</f>
        <v>0</v>
      </c>
      <c r="I465" s="28">
        <v>0</v>
      </c>
      <c r="J465" s="28">
        <f t="shared" si="67"/>
        <v>0</v>
      </c>
      <c r="K465" s="28">
        <f>+IFERROR(VLOOKUP(A465,TB310320119!$A$11:$C$422,2,0),0)</f>
        <v>5000</v>
      </c>
      <c r="L465" s="28">
        <v>0</v>
      </c>
      <c r="M465" s="28">
        <f t="shared" si="63"/>
        <v>5000</v>
      </c>
      <c r="N465" s="28">
        <f>+IFERROR(VLOOKUP(A465,TB310320119!$A$11:$C$421,3,0),0)</f>
        <v>0</v>
      </c>
      <c r="O465" s="28">
        <v>0</v>
      </c>
      <c r="P465" s="28">
        <f t="shared" si="65"/>
        <v>0</v>
      </c>
      <c r="Q465" s="20">
        <f t="shared" si="64"/>
        <v>156000</v>
      </c>
    </row>
    <row r="466" spans="1:17" ht="15" customHeight="1">
      <c r="A466" s="31" t="s">
        <v>365</v>
      </c>
      <c r="B466" s="28">
        <v>7</v>
      </c>
      <c r="C466" s="28" t="s">
        <v>561</v>
      </c>
      <c r="D466" s="28" t="s">
        <v>561</v>
      </c>
      <c r="E466" s="28">
        <f>+IFERROR(VLOOKUP(A466,TB31032020!$A$11:$C$415,2,0),0)</f>
        <v>0</v>
      </c>
      <c r="F466" s="28">
        <v>0</v>
      </c>
      <c r="G466" s="28">
        <f t="shared" si="66"/>
        <v>0</v>
      </c>
      <c r="H466" s="28">
        <f>+IFERROR(VLOOKUP(A466,TB31032020!$A$11:$C$415,3,0),0)</f>
        <v>64723</v>
      </c>
      <c r="I466" s="28">
        <v>0</v>
      </c>
      <c r="J466" s="28">
        <f t="shared" si="67"/>
        <v>64723</v>
      </c>
      <c r="K466" s="28">
        <f>+IFERROR(VLOOKUP(A466,TB310320119!$A$11:$C$422,2,0),0)</f>
        <v>0</v>
      </c>
      <c r="L466" s="28">
        <v>0</v>
      </c>
      <c r="M466" s="28">
        <f t="shared" si="63"/>
        <v>0</v>
      </c>
      <c r="N466" s="28">
        <f>+IFERROR(VLOOKUP(A466,TB310320119!$A$11:$C$421,3,0),0)</f>
        <v>192538</v>
      </c>
      <c r="O466" s="28">
        <v>0</v>
      </c>
      <c r="P466" s="28">
        <f t="shared" si="65"/>
        <v>192538</v>
      </c>
      <c r="Q466" s="20">
        <f t="shared" si="64"/>
        <v>514522</v>
      </c>
    </row>
    <row r="467" spans="1:17" ht="15" customHeight="1">
      <c r="A467" s="33" t="s">
        <v>523</v>
      </c>
      <c r="B467" s="28">
        <v>4</v>
      </c>
      <c r="C467" s="28" t="s">
        <v>576</v>
      </c>
      <c r="D467" s="28" t="s">
        <v>728</v>
      </c>
      <c r="E467" s="28">
        <f>+IFERROR(VLOOKUP(A467,TB31032020!$A$11:$C$415,2,0),0)</f>
        <v>0</v>
      </c>
      <c r="F467" s="28">
        <v>0</v>
      </c>
      <c r="G467" s="28">
        <f t="shared" si="66"/>
        <v>0</v>
      </c>
      <c r="H467" s="28">
        <f>+IFERROR(VLOOKUP(A467,TB31032020!$A$11:$C$415,3,0),0)</f>
        <v>0</v>
      </c>
      <c r="I467" s="28">
        <v>0</v>
      </c>
      <c r="J467" s="28">
        <f t="shared" si="67"/>
        <v>0</v>
      </c>
      <c r="K467" s="28">
        <f>+IFERROR(VLOOKUP(A467,TB310320119!$A$11:$C$422,2,0),0)</f>
        <v>0</v>
      </c>
      <c r="L467" s="28">
        <v>0</v>
      </c>
      <c r="M467" s="28">
        <f t="shared" ref="M467:M532" si="68">K467+L467</f>
        <v>0</v>
      </c>
      <c r="N467" s="28">
        <f>+IFERROR(VLOOKUP(A467,TB310320119!$A$11:$C$421,3,0),0)</f>
        <v>114949</v>
      </c>
      <c r="O467" s="28">
        <v>0</v>
      </c>
      <c r="P467" s="28">
        <f t="shared" si="65"/>
        <v>114949</v>
      </c>
      <c r="Q467" s="20">
        <f t="shared" ref="Q467:Q532" si="69">+SUM(E467:P467)</f>
        <v>229898</v>
      </c>
    </row>
    <row r="468" spans="1:17" ht="15" customHeight="1">
      <c r="A468" s="33" t="s">
        <v>366</v>
      </c>
      <c r="B468" s="28">
        <v>4</v>
      </c>
      <c r="C468" s="28" t="s">
        <v>576</v>
      </c>
      <c r="D468" s="28" t="s">
        <v>728</v>
      </c>
      <c r="E468" s="28">
        <f>+IFERROR(VLOOKUP(A468,TB31032020!$A$11:$C$415,2,0),0)</f>
        <v>0</v>
      </c>
      <c r="F468" s="28">
        <v>0</v>
      </c>
      <c r="G468" s="28">
        <f t="shared" si="66"/>
        <v>0</v>
      </c>
      <c r="H468" s="28">
        <f>+IFERROR(VLOOKUP(A468,TB31032020!$A$11:$C$415,3,0),0)</f>
        <v>32212</v>
      </c>
      <c r="I468" s="28">
        <v>0</v>
      </c>
      <c r="J468" s="28">
        <f t="shared" si="67"/>
        <v>32212</v>
      </c>
      <c r="K468" s="28">
        <f>+IFERROR(VLOOKUP(A468,TB310320119!$A$11:$C$422,2,0),0)</f>
        <v>0</v>
      </c>
      <c r="L468" s="28">
        <v>0</v>
      </c>
      <c r="M468" s="28">
        <f t="shared" si="68"/>
        <v>0</v>
      </c>
      <c r="N468" s="28">
        <f>+IFERROR(VLOOKUP(A468,TB310320119!$A$11:$C$421,3,0),0)</f>
        <v>459137</v>
      </c>
      <c r="O468" s="28">
        <v>0</v>
      </c>
      <c r="P468" s="28">
        <f t="shared" si="65"/>
        <v>459137</v>
      </c>
      <c r="Q468" s="20">
        <f t="shared" si="69"/>
        <v>982698</v>
      </c>
    </row>
    <row r="469" spans="1:17" ht="15" customHeight="1">
      <c r="A469" s="33" t="s">
        <v>367</v>
      </c>
      <c r="B469" s="28">
        <v>4</v>
      </c>
      <c r="C469" s="28" t="s">
        <v>576</v>
      </c>
      <c r="D469" s="28" t="s">
        <v>728</v>
      </c>
      <c r="E469" s="28">
        <f>+IFERROR(VLOOKUP(A469,TB31032020!$A$11:$C$415,2,0),0)</f>
        <v>0</v>
      </c>
      <c r="F469" s="28">
        <v>0</v>
      </c>
      <c r="G469" s="28">
        <f t="shared" si="66"/>
        <v>0</v>
      </c>
      <c r="H469" s="28">
        <f>+IFERROR(VLOOKUP(A469,TB31032020!$A$11:$C$415,3,0),0)</f>
        <v>98185</v>
      </c>
      <c r="I469" s="28">
        <v>0</v>
      </c>
      <c r="J469" s="28">
        <f t="shared" si="67"/>
        <v>98185</v>
      </c>
      <c r="K469" s="28">
        <f>+IFERROR(VLOOKUP(A469,TB310320119!$A$11:$C$422,2,0),0)</f>
        <v>0</v>
      </c>
      <c r="L469" s="28">
        <v>0</v>
      </c>
      <c r="M469" s="28">
        <f t="shared" si="68"/>
        <v>0</v>
      </c>
      <c r="N469" s="28">
        <f>+IFERROR(VLOOKUP(A469,TB310320119!$A$11:$C$421,3,0),0)</f>
        <v>484174</v>
      </c>
      <c r="O469" s="28">
        <v>0</v>
      </c>
      <c r="P469" s="28">
        <f t="shared" si="65"/>
        <v>484174</v>
      </c>
      <c r="Q469" s="20">
        <f t="shared" si="69"/>
        <v>1164718</v>
      </c>
    </row>
    <row r="470" spans="1:17" ht="15" customHeight="1">
      <c r="A470" s="32" t="s">
        <v>368</v>
      </c>
      <c r="B470" s="28">
        <v>15</v>
      </c>
      <c r="C470" s="28" t="s">
        <v>563</v>
      </c>
      <c r="D470" s="28" t="s">
        <v>564</v>
      </c>
      <c r="E470" s="28">
        <f>+IFERROR(VLOOKUP(A470,TB31032020!$A$11:$C$415,2,0),0)</f>
        <v>213539</v>
      </c>
      <c r="F470" s="28">
        <v>0</v>
      </c>
      <c r="G470" s="28">
        <f t="shared" si="66"/>
        <v>213539</v>
      </c>
      <c r="H470" s="28">
        <f>+IFERROR(VLOOKUP(A470,TB31032020!$A$11:$C$415,3,0),0)</f>
        <v>0</v>
      </c>
      <c r="I470" s="28">
        <v>0</v>
      </c>
      <c r="J470" s="28">
        <f t="shared" si="67"/>
        <v>0</v>
      </c>
      <c r="K470" s="28">
        <f>+IFERROR(VLOOKUP(A470,TB310320119!$A$11:$C$422,2,0),0)</f>
        <v>0</v>
      </c>
      <c r="L470" s="28">
        <v>0</v>
      </c>
      <c r="M470" s="28">
        <f t="shared" si="68"/>
        <v>0</v>
      </c>
      <c r="N470" s="28">
        <f>+IFERROR(VLOOKUP(A470,TB310320119!$A$11:$C$421,3,0),0)</f>
        <v>0</v>
      </c>
      <c r="O470" s="28">
        <v>0</v>
      </c>
      <c r="P470" s="28">
        <f t="shared" si="65"/>
        <v>0</v>
      </c>
      <c r="Q470" s="20">
        <f t="shared" si="69"/>
        <v>427078</v>
      </c>
    </row>
    <row r="471" spans="1:17" ht="15" customHeight="1">
      <c r="A471" s="33" t="s">
        <v>729</v>
      </c>
      <c r="B471" s="28">
        <v>26</v>
      </c>
      <c r="C471" s="28" t="s">
        <v>568</v>
      </c>
      <c r="D471" s="28" t="s">
        <v>578</v>
      </c>
      <c r="E471" s="28">
        <f>+IFERROR(VLOOKUP(A471,TB31032020!$A$11:$C$415,2,0),0)</f>
        <v>199368.3</v>
      </c>
      <c r="F471" s="28">
        <v>0</v>
      </c>
      <c r="G471" s="28">
        <f t="shared" si="66"/>
        <v>199368.3</v>
      </c>
      <c r="H471" s="28">
        <f>+IFERROR(VLOOKUP(A471,TB31032020!$A$11:$C$415,3,0),0)</f>
        <v>0</v>
      </c>
      <c r="I471" s="28">
        <v>0</v>
      </c>
      <c r="J471" s="28">
        <f t="shared" si="67"/>
        <v>0</v>
      </c>
      <c r="K471" s="28">
        <f>+IFERROR(VLOOKUP(A471,TB310320119!$A$11:$C$422,2,0),0)</f>
        <v>0</v>
      </c>
      <c r="L471" s="28">
        <v>0</v>
      </c>
      <c r="M471" s="28">
        <f t="shared" si="68"/>
        <v>0</v>
      </c>
      <c r="N471" s="28">
        <f>+IFERROR(VLOOKUP(A471,TB310320119!$A$11:$C$421,3,0),0)</f>
        <v>63097.05</v>
      </c>
      <c r="O471" s="28">
        <v>0</v>
      </c>
      <c r="P471" s="28">
        <f t="shared" si="65"/>
        <v>63097.05</v>
      </c>
      <c r="Q471" s="20">
        <f t="shared" si="69"/>
        <v>524930.69999999995</v>
      </c>
    </row>
    <row r="472" spans="1:17" ht="15" customHeight="1">
      <c r="A472" s="34" t="s">
        <v>370</v>
      </c>
      <c r="B472" s="28">
        <v>15</v>
      </c>
      <c r="C472" s="28" t="s">
        <v>563</v>
      </c>
      <c r="D472" s="28" t="s">
        <v>564</v>
      </c>
      <c r="E472" s="28">
        <f>+IFERROR(VLOOKUP(A472,TB31032020!$A$11:$C$415,2,0),0)</f>
        <v>1168754</v>
      </c>
      <c r="F472" s="28">
        <v>0</v>
      </c>
      <c r="G472" s="28">
        <f t="shared" si="66"/>
        <v>1168754</v>
      </c>
      <c r="H472" s="28">
        <f>+IFERROR(VLOOKUP(A472,TB31032020!$A$11:$C$415,3,0),0)</f>
        <v>0</v>
      </c>
      <c r="I472" s="28">
        <v>0</v>
      </c>
      <c r="J472" s="28">
        <f t="shared" si="67"/>
        <v>0</v>
      </c>
      <c r="K472" s="28">
        <f>+IFERROR(VLOOKUP(A472,TB310320119!$A$11:$C$422,2,0),0)</f>
        <v>1029518</v>
      </c>
      <c r="L472" s="28">
        <v>0</v>
      </c>
      <c r="M472" s="28">
        <f t="shared" si="68"/>
        <v>1029518</v>
      </c>
      <c r="N472" s="28">
        <f>+IFERROR(VLOOKUP(A472,TB310320119!$A$11:$C$421,3,0),0)</f>
        <v>0</v>
      </c>
      <c r="O472" s="28">
        <v>0</v>
      </c>
      <c r="P472" s="28">
        <f t="shared" si="65"/>
        <v>0</v>
      </c>
      <c r="Q472" s="20">
        <f t="shared" si="69"/>
        <v>4396544</v>
      </c>
    </row>
    <row r="473" spans="1:17" ht="15" customHeight="1">
      <c r="A473" s="49" t="s">
        <v>371</v>
      </c>
      <c r="B473" s="28">
        <v>12</v>
      </c>
      <c r="C473" s="28" t="s">
        <v>566</v>
      </c>
      <c r="D473" s="28" t="s">
        <v>634</v>
      </c>
      <c r="E473" s="28">
        <f>+IFERROR(VLOOKUP(A473,TB31032020!$A$11:$C$415,2,0),0)</f>
        <v>22000</v>
      </c>
      <c r="F473" s="28">
        <v>0</v>
      </c>
      <c r="G473" s="28">
        <f t="shared" si="66"/>
        <v>22000</v>
      </c>
      <c r="H473" s="28">
        <f>+IFERROR(VLOOKUP(A473,TB31032020!$A$11:$C$415,3,0),0)</f>
        <v>0</v>
      </c>
      <c r="I473" s="28">
        <v>0</v>
      </c>
      <c r="J473" s="28">
        <f t="shared" si="67"/>
        <v>0</v>
      </c>
      <c r="K473" s="28">
        <f>+IFERROR(VLOOKUP(A473,TB310320119!$A$11:$C$422,2,0),0)</f>
        <v>0</v>
      </c>
      <c r="L473" s="28">
        <v>0</v>
      </c>
      <c r="M473" s="28">
        <f t="shared" si="68"/>
        <v>0</v>
      </c>
      <c r="N473" s="28">
        <f>+IFERROR(VLOOKUP(A473,TB310320119!$A$11:$C$421,3,0),0)</f>
        <v>0</v>
      </c>
      <c r="O473" s="28">
        <v>0</v>
      </c>
      <c r="P473" s="28">
        <f t="shared" si="65"/>
        <v>0</v>
      </c>
      <c r="Q473" s="20">
        <f t="shared" si="69"/>
        <v>44000</v>
      </c>
    </row>
    <row r="474" spans="1:17" ht="15" customHeight="1">
      <c r="A474" s="40" t="s">
        <v>524</v>
      </c>
      <c r="B474" s="28">
        <v>12</v>
      </c>
      <c r="C474" s="28" t="s">
        <v>566</v>
      </c>
      <c r="D474" s="28" t="s">
        <v>634</v>
      </c>
      <c r="E474" s="28">
        <f>+IFERROR(VLOOKUP(A474,TB31032020!$A$11:$C$415,2,0),0)</f>
        <v>0</v>
      </c>
      <c r="F474" s="28">
        <v>0</v>
      </c>
      <c r="G474" s="28">
        <f t="shared" si="66"/>
        <v>0</v>
      </c>
      <c r="H474" s="28">
        <f>+IFERROR(VLOOKUP(A474,TB31032020!$A$11:$C$415,3,0),0)</f>
        <v>0</v>
      </c>
      <c r="I474" s="28">
        <v>0</v>
      </c>
      <c r="J474" s="28">
        <f t="shared" si="67"/>
        <v>0</v>
      </c>
      <c r="K474" s="28">
        <f>+IFERROR(VLOOKUP(A474,TB310320119!$A$11:$C$422,2,0),0)</f>
        <v>12000</v>
      </c>
      <c r="L474" s="28">
        <v>0</v>
      </c>
      <c r="M474" s="28">
        <f t="shared" si="68"/>
        <v>12000</v>
      </c>
      <c r="N474" s="28">
        <f>+IFERROR(VLOOKUP(A474,TB310320119!$A$11:$C$421,3,0),0)</f>
        <v>0</v>
      </c>
      <c r="O474" s="28">
        <v>0</v>
      </c>
      <c r="P474" s="28">
        <f t="shared" si="65"/>
        <v>0</v>
      </c>
      <c r="Q474" s="20">
        <f t="shared" si="69"/>
        <v>24000</v>
      </c>
    </row>
    <row r="475" spans="1:17" ht="15" customHeight="1">
      <c r="A475" s="33" t="s">
        <v>525</v>
      </c>
      <c r="B475" s="28">
        <v>15</v>
      </c>
      <c r="C475" s="28" t="s">
        <v>563</v>
      </c>
      <c r="D475" s="28" t="s">
        <v>564</v>
      </c>
      <c r="E475" s="28">
        <f>+IFERROR(VLOOKUP(A475,TB31032020!$A$11:$C$415,2,0),0)</f>
        <v>0</v>
      </c>
      <c r="F475" s="28">
        <v>0</v>
      </c>
      <c r="G475" s="28">
        <f t="shared" si="66"/>
        <v>0</v>
      </c>
      <c r="H475" s="28">
        <f>+IFERROR(VLOOKUP(A475,TB31032020!$A$11:$C$415,3,0),0)</f>
        <v>0</v>
      </c>
      <c r="I475" s="28">
        <v>0</v>
      </c>
      <c r="J475" s="28">
        <f t="shared" si="67"/>
        <v>0</v>
      </c>
      <c r="K475" s="28">
        <f>+IFERROR(VLOOKUP(A475,TB310320119!$A$11:$C$422,2,0),0)</f>
        <v>235492</v>
      </c>
      <c r="L475" s="28">
        <v>0</v>
      </c>
      <c r="M475" s="28">
        <f t="shared" si="68"/>
        <v>235492</v>
      </c>
      <c r="N475" s="28">
        <f>+IFERROR(VLOOKUP(A475,TB310320119!$A$11:$C$421,3,0),0)</f>
        <v>0</v>
      </c>
      <c r="O475" s="28">
        <v>0</v>
      </c>
      <c r="P475" s="28">
        <f t="shared" si="65"/>
        <v>0</v>
      </c>
      <c r="Q475" s="20">
        <f t="shared" si="69"/>
        <v>470984</v>
      </c>
    </row>
    <row r="476" spans="1:17" ht="15" customHeight="1">
      <c r="A476" s="33" t="s">
        <v>372</v>
      </c>
      <c r="B476" s="28">
        <v>7</v>
      </c>
      <c r="C476" s="28" t="s">
        <v>561</v>
      </c>
      <c r="D476" s="28" t="s">
        <v>561</v>
      </c>
      <c r="E476" s="28">
        <f>+IFERROR(VLOOKUP(A476,TB31032020!$A$11:$C$415,2,0),0)</f>
        <v>0</v>
      </c>
      <c r="F476" s="28">
        <v>0</v>
      </c>
      <c r="G476" s="28">
        <f t="shared" si="66"/>
        <v>0</v>
      </c>
      <c r="H476" s="28">
        <f>+IFERROR(VLOOKUP(A476,TB31032020!$A$11:$C$415,3,0),0)</f>
        <v>351168</v>
      </c>
      <c r="I476" s="28">
        <v>0</v>
      </c>
      <c r="J476" s="28">
        <f t="shared" si="67"/>
        <v>351168</v>
      </c>
      <c r="K476" s="28">
        <f>+IFERROR(VLOOKUP(A476,TB310320119!$A$11:$C$422,2,0),0)</f>
        <v>0</v>
      </c>
      <c r="L476" s="28">
        <v>0</v>
      </c>
      <c r="M476" s="28">
        <f t="shared" si="68"/>
        <v>0</v>
      </c>
      <c r="N476" s="28">
        <f>+IFERROR(VLOOKUP(A476,TB310320119!$A$11:$C$421,3,0),0)</f>
        <v>267860</v>
      </c>
      <c r="O476" s="28">
        <v>0</v>
      </c>
      <c r="P476" s="28">
        <f t="shared" si="65"/>
        <v>267860</v>
      </c>
      <c r="Q476" s="20">
        <f t="shared" si="69"/>
        <v>1238056</v>
      </c>
    </row>
    <row r="477" spans="1:17" ht="15" customHeight="1">
      <c r="A477" s="34" t="s">
        <v>373</v>
      </c>
      <c r="B477" s="28">
        <v>12</v>
      </c>
      <c r="C477" s="28" t="s">
        <v>566</v>
      </c>
      <c r="D477" s="28" t="s">
        <v>567</v>
      </c>
      <c r="E477" s="28">
        <f>+IFERROR(VLOOKUP(A477,TB31032020!$A$11:$C$415,2,0),0)</f>
        <v>0</v>
      </c>
      <c r="F477" s="28">
        <v>0</v>
      </c>
      <c r="G477" s="28">
        <f t="shared" si="66"/>
        <v>0</v>
      </c>
      <c r="H477" s="28">
        <f>+IFERROR(VLOOKUP(A477,TB31032020!$A$11:$C$415,3,0),0)</f>
        <v>0</v>
      </c>
      <c r="I477" s="28">
        <v>0</v>
      </c>
      <c r="J477" s="28">
        <f t="shared" si="67"/>
        <v>0</v>
      </c>
      <c r="K477" s="28">
        <f>+IFERROR(VLOOKUP(A477,TB310320119!$A$11:$C$422,2,0),0)</f>
        <v>19841</v>
      </c>
      <c r="L477" s="28">
        <v>0</v>
      </c>
      <c r="M477" s="28">
        <f t="shared" si="68"/>
        <v>19841</v>
      </c>
      <c r="N477" s="28">
        <f>+IFERROR(VLOOKUP(A477,TB310320119!$A$11:$C$421,3,0),0)</f>
        <v>0</v>
      </c>
      <c r="O477" s="28">
        <v>0</v>
      </c>
      <c r="P477" s="28">
        <f t="shared" si="65"/>
        <v>0</v>
      </c>
      <c r="Q477" s="20">
        <f t="shared" si="69"/>
        <v>39682</v>
      </c>
    </row>
    <row r="478" spans="1:17" ht="15" customHeight="1">
      <c r="A478" s="33" t="s">
        <v>730</v>
      </c>
      <c r="B478" s="28">
        <v>8</v>
      </c>
      <c r="C478" s="28" t="s">
        <v>585</v>
      </c>
      <c r="D478" s="28" t="s">
        <v>603</v>
      </c>
      <c r="E478" s="28">
        <f>+IFERROR(VLOOKUP(A478,TB31032020!$A$11:$C$415,2,0),0)</f>
        <v>0</v>
      </c>
      <c r="F478" s="28">
        <v>0</v>
      </c>
      <c r="G478" s="28">
        <f t="shared" si="66"/>
        <v>0</v>
      </c>
      <c r="H478" s="28">
        <f>+IFERROR(VLOOKUP(A478,TB31032020!$A$11:$C$415,3,0),0)</f>
        <v>101044</v>
      </c>
      <c r="I478" s="28">
        <v>0</v>
      </c>
      <c r="J478" s="28">
        <f t="shared" si="67"/>
        <v>101044</v>
      </c>
      <c r="K478" s="28">
        <f>+IFERROR(VLOOKUP(A478,TB310320119!$A$11:$C$422,2,0),0)</f>
        <v>0</v>
      </c>
      <c r="L478" s="28">
        <v>0</v>
      </c>
      <c r="M478" s="28">
        <f t="shared" si="68"/>
        <v>0</v>
      </c>
      <c r="N478" s="28">
        <f>+IFERROR(VLOOKUP(A478,TB310320119!$A$11:$C$421,3,0),0)</f>
        <v>82885</v>
      </c>
      <c r="O478" s="28">
        <v>0</v>
      </c>
      <c r="P478" s="28">
        <f t="shared" si="65"/>
        <v>82885</v>
      </c>
      <c r="Q478" s="20">
        <f t="shared" si="69"/>
        <v>367858</v>
      </c>
    </row>
    <row r="479" spans="1:17" ht="15" customHeight="1">
      <c r="A479" s="32" t="s">
        <v>374</v>
      </c>
      <c r="B479" s="28">
        <v>12</v>
      </c>
      <c r="C479" s="28" t="s">
        <v>566</v>
      </c>
      <c r="D479" s="28" t="s">
        <v>567</v>
      </c>
      <c r="E479" s="28">
        <f>+IFERROR(VLOOKUP(A479,TB31032020!$A$11:$C$415,2,0),0)</f>
        <v>15292</v>
      </c>
      <c r="F479" s="28">
        <v>0</v>
      </c>
      <c r="G479" s="28">
        <f t="shared" si="66"/>
        <v>15292</v>
      </c>
      <c r="H479" s="28">
        <f>+IFERROR(VLOOKUP(A479,TB31032020!$A$11:$C$415,3,0),0)</f>
        <v>0</v>
      </c>
      <c r="I479" s="28">
        <v>0</v>
      </c>
      <c r="J479" s="28">
        <f t="shared" si="67"/>
        <v>0</v>
      </c>
      <c r="K479" s="28">
        <f>+IFERROR(VLOOKUP(A479,TB310320119!$A$11:$C$422,2,0),0)</f>
        <v>0</v>
      </c>
      <c r="L479" s="28">
        <v>0</v>
      </c>
      <c r="M479" s="28">
        <f t="shared" si="68"/>
        <v>0</v>
      </c>
      <c r="N479" s="28">
        <f>+IFERROR(VLOOKUP(A479,TB310320119!$A$11:$C$421,3,0),0)</f>
        <v>0</v>
      </c>
      <c r="O479" s="28">
        <v>0</v>
      </c>
      <c r="P479" s="28">
        <f t="shared" si="65"/>
        <v>0</v>
      </c>
      <c r="Q479" s="20">
        <f t="shared" si="69"/>
        <v>30584</v>
      </c>
    </row>
    <row r="480" spans="1:17" ht="15" customHeight="1">
      <c r="A480" s="460" t="s">
        <v>1526</v>
      </c>
      <c r="B480" s="28">
        <v>12</v>
      </c>
      <c r="C480" s="28" t="s">
        <v>566</v>
      </c>
      <c r="D480" s="28" t="s">
        <v>567</v>
      </c>
      <c r="E480" s="28">
        <f>+IFERROR(VLOOKUP(A480,TB31032020!$A$11:$C$415,2,0),0)</f>
        <v>44002</v>
      </c>
      <c r="F480" s="28">
        <v>0</v>
      </c>
      <c r="G480" s="28">
        <f t="shared" si="66"/>
        <v>44002</v>
      </c>
      <c r="H480" s="28">
        <f>+IFERROR(VLOOKUP(A480,TB31032020!$A$11:$C$415,3,0),0)</f>
        <v>0</v>
      </c>
      <c r="I480" s="28">
        <v>0</v>
      </c>
      <c r="J480" s="28">
        <f t="shared" si="67"/>
        <v>0</v>
      </c>
      <c r="K480" s="28">
        <f>+IFERROR(VLOOKUP(A480,TB310320119!$A$11:$C$422,2,0),0)</f>
        <v>0</v>
      </c>
      <c r="L480" s="28">
        <v>0</v>
      </c>
      <c r="M480" s="28">
        <f t="shared" ref="M480" si="70">K480+L480</f>
        <v>0</v>
      </c>
      <c r="N480" s="28">
        <f>+IFERROR(VLOOKUP(A480,TB310320119!$A$11:$C$421,3,0),0)</f>
        <v>0</v>
      </c>
      <c r="O480" s="28">
        <v>0</v>
      </c>
      <c r="P480" s="28">
        <f t="shared" ref="P480" si="71">N480+O480</f>
        <v>0</v>
      </c>
      <c r="Q480" s="20">
        <f t="shared" ref="Q480" si="72">+SUM(E480:P480)</f>
        <v>88004</v>
      </c>
    </row>
    <row r="481" spans="1:17" ht="15" customHeight="1">
      <c r="A481" s="36" t="s">
        <v>375</v>
      </c>
      <c r="B481" s="28">
        <v>26</v>
      </c>
      <c r="C481" s="28" t="s">
        <v>568</v>
      </c>
      <c r="D481" s="28" t="s">
        <v>569</v>
      </c>
      <c r="E481" s="28">
        <f>+IFERROR(VLOOKUP(A481,TB31032020!$A$11:$C$415,2,0),0)</f>
        <v>21</v>
      </c>
      <c r="F481" s="28">
        <v>0</v>
      </c>
      <c r="G481" s="28">
        <f t="shared" si="66"/>
        <v>21</v>
      </c>
      <c r="H481" s="28">
        <f>+IFERROR(VLOOKUP(A481,TB31032020!$A$11:$C$415,3,0),0)</f>
        <v>0</v>
      </c>
      <c r="I481" s="28">
        <v>0</v>
      </c>
      <c r="J481" s="28">
        <f t="shared" si="67"/>
        <v>0</v>
      </c>
      <c r="K481" s="28">
        <f>+IFERROR(VLOOKUP(A481,TB310320119!$A$11:$C$422,2,0),0)</f>
        <v>0</v>
      </c>
      <c r="L481" s="28">
        <v>0</v>
      </c>
      <c r="M481" s="28">
        <f t="shared" si="68"/>
        <v>0</v>
      </c>
      <c r="N481" s="28">
        <f>+IFERROR(VLOOKUP(A481,TB310320119!$A$11:$C$421,3,0),0)</f>
        <v>0</v>
      </c>
      <c r="O481" s="28">
        <v>0</v>
      </c>
      <c r="P481" s="28">
        <f t="shared" si="65"/>
        <v>0</v>
      </c>
      <c r="Q481" s="20">
        <f t="shared" si="69"/>
        <v>42</v>
      </c>
    </row>
    <row r="482" spans="1:17" ht="15" customHeight="1">
      <c r="A482" s="34" t="s">
        <v>526</v>
      </c>
      <c r="B482" s="28">
        <v>12</v>
      </c>
      <c r="C482" s="28" t="s">
        <v>566</v>
      </c>
      <c r="D482" s="28" t="s">
        <v>567</v>
      </c>
      <c r="E482" s="28">
        <f>+IFERROR(VLOOKUP(A482,TB31032020!$A$11:$C$415,2,0),0)</f>
        <v>0</v>
      </c>
      <c r="F482" s="28">
        <v>0</v>
      </c>
      <c r="G482" s="28">
        <f t="shared" si="66"/>
        <v>0</v>
      </c>
      <c r="H482" s="28">
        <f>+IFERROR(VLOOKUP(A482,TB31032020!$A$11:$C$415,3,0),0)</f>
        <v>0</v>
      </c>
      <c r="I482" s="28">
        <v>0</v>
      </c>
      <c r="J482" s="28">
        <f t="shared" si="67"/>
        <v>0</v>
      </c>
      <c r="K482" s="28">
        <f>+IFERROR(VLOOKUP(A482,TB310320119!$A$11:$C$422,2,0),0)</f>
        <v>4717</v>
      </c>
      <c r="L482" s="28">
        <v>0</v>
      </c>
      <c r="M482" s="28">
        <f t="shared" si="68"/>
        <v>4717</v>
      </c>
      <c r="N482" s="28">
        <f>+IFERROR(VLOOKUP(A482,TB310320119!$A$11:$C$421,3,0),0)</f>
        <v>0</v>
      </c>
      <c r="O482" s="28">
        <v>0</v>
      </c>
      <c r="P482" s="28">
        <f t="shared" si="65"/>
        <v>0</v>
      </c>
      <c r="Q482" s="20">
        <f t="shared" si="69"/>
        <v>9434</v>
      </c>
    </row>
    <row r="483" spans="1:17" ht="15" customHeight="1">
      <c r="A483" s="33" t="s">
        <v>731</v>
      </c>
      <c r="B483" s="28">
        <v>8</v>
      </c>
      <c r="C483" s="28" t="s">
        <v>585</v>
      </c>
      <c r="D483" s="28" t="s">
        <v>603</v>
      </c>
      <c r="E483" s="28">
        <f>+IFERROR(VLOOKUP(A483,TB31032020!$A$11:$C$415,2,0),0)</f>
        <v>0</v>
      </c>
      <c r="F483" s="28">
        <v>0</v>
      </c>
      <c r="G483" s="28">
        <f t="shared" si="66"/>
        <v>0</v>
      </c>
      <c r="H483" s="28">
        <f>+IFERROR(VLOOKUP(A483,TB31032020!$A$11:$C$415,3,0),0)</f>
        <v>3900</v>
      </c>
      <c r="I483" s="28">
        <v>0</v>
      </c>
      <c r="J483" s="28">
        <f t="shared" si="67"/>
        <v>3900</v>
      </c>
      <c r="K483" s="28">
        <f>+IFERROR(VLOOKUP(A483,TB310320119!$A$11:$C$422,2,0),0)</f>
        <v>0</v>
      </c>
      <c r="L483" s="28">
        <v>0</v>
      </c>
      <c r="M483" s="28">
        <f t="shared" si="68"/>
        <v>0</v>
      </c>
      <c r="N483" s="28">
        <f>+IFERROR(VLOOKUP(A483,TB310320119!$A$11:$C$421,3,0),0)</f>
        <v>3900</v>
      </c>
      <c r="O483" s="28">
        <v>0</v>
      </c>
      <c r="P483" s="28">
        <f t="shared" si="65"/>
        <v>3900</v>
      </c>
      <c r="Q483" s="20">
        <f t="shared" si="69"/>
        <v>15600</v>
      </c>
    </row>
    <row r="484" spans="1:17" ht="15" customHeight="1">
      <c r="A484" s="33" t="s">
        <v>376</v>
      </c>
      <c r="B484" s="28">
        <v>8</v>
      </c>
      <c r="C484" s="28" t="s">
        <v>585</v>
      </c>
      <c r="D484" s="28" t="s">
        <v>603</v>
      </c>
      <c r="E484" s="28">
        <f>+IFERROR(VLOOKUP(A484,TB31032020!$A$11:$C$415,2,0),0)</f>
        <v>0</v>
      </c>
      <c r="F484" s="28">
        <v>0</v>
      </c>
      <c r="G484" s="28">
        <f t="shared" si="66"/>
        <v>0</v>
      </c>
      <c r="H484" s="28">
        <f>+IFERROR(VLOOKUP(A484,TB31032020!$A$11:$C$415,3,0),0)</f>
        <v>5038</v>
      </c>
      <c r="I484" s="28">
        <v>0</v>
      </c>
      <c r="J484" s="28">
        <f t="shared" si="67"/>
        <v>5038</v>
      </c>
      <c r="K484" s="28">
        <f>+IFERROR(VLOOKUP(A484,TB310320119!$A$11:$C$422,2,0),0)</f>
        <v>0</v>
      </c>
      <c r="L484" s="28">
        <v>0</v>
      </c>
      <c r="M484" s="28">
        <f t="shared" si="68"/>
        <v>0</v>
      </c>
      <c r="N484" s="28">
        <f>+IFERROR(VLOOKUP(A484,TB310320119!$A$11:$C$421,3,0),0)</f>
        <v>6255</v>
      </c>
      <c r="O484" s="28">
        <v>0</v>
      </c>
      <c r="P484" s="28">
        <f t="shared" si="65"/>
        <v>6255</v>
      </c>
      <c r="Q484" s="20">
        <f t="shared" si="69"/>
        <v>22586</v>
      </c>
    </row>
    <row r="485" spans="1:17" ht="15" customHeight="1">
      <c r="A485" s="33" t="s">
        <v>527</v>
      </c>
      <c r="B485" s="28">
        <v>8</v>
      </c>
      <c r="C485" s="28" t="s">
        <v>585</v>
      </c>
      <c r="D485" s="28" t="s">
        <v>603</v>
      </c>
      <c r="E485" s="28">
        <f>+IFERROR(VLOOKUP(A485,TB31032020!$A$11:$C$415,2,0),0)</f>
        <v>0</v>
      </c>
      <c r="F485" s="28">
        <v>0</v>
      </c>
      <c r="G485" s="28">
        <f t="shared" si="66"/>
        <v>0</v>
      </c>
      <c r="H485" s="28">
        <f>+IFERROR(VLOOKUP(A485,TB31032020!$A$11:$C$415,3,0),0)</f>
        <v>1902</v>
      </c>
      <c r="I485" s="28">
        <v>0</v>
      </c>
      <c r="J485" s="28">
        <f t="shared" si="67"/>
        <v>1902</v>
      </c>
      <c r="K485" s="28">
        <f>+IFERROR(VLOOKUP(A485,TB310320119!$A$11:$C$422,2,0),0)</f>
        <v>0</v>
      </c>
      <c r="L485" s="28">
        <v>0</v>
      </c>
      <c r="M485" s="28">
        <f t="shared" si="68"/>
        <v>0</v>
      </c>
      <c r="N485" s="28">
        <f>+IFERROR(VLOOKUP(A485,TB310320119!$A$11:$C$421,3,0),0)</f>
        <v>15973</v>
      </c>
      <c r="O485" s="28">
        <v>0</v>
      </c>
      <c r="P485" s="28">
        <f t="shared" si="65"/>
        <v>15973</v>
      </c>
      <c r="Q485" s="20">
        <f t="shared" si="69"/>
        <v>35750</v>
      </c>
    </row>
    <row r="486" spans="1:17" ht="15" customHeight="1">
      <c r="A486" s="33" t="s">
        <v>732</v>
      </c>
      <c r="B486" s="28">
        <v>8</v>
      </c>
      <c r="C486" s="28" t="s">
        <v>585</v>
      </c>
      <c r="D486" s="28" t="s">
        <v>603</v>
      </c>
      <c r="E486" s="28">
        <f>+IFERROR(VLOOKUP(A486,TB31032020!$A$11:$C$415,2,0),0)</f>
        <v>0</v>
      </c>
      <c r="F486" s="28">
        <v>0</v>
      </c>
      <c r="G486" s="28">
        <f t="shared" si="66"/>
        <v>0</v>
      </c>
      <c r="H486" s="28">
        <f>+IFERROR(VLOOKUP(A486,TB31032020!$A$11:$C$415,3,0),0)</f>
        <v>16393.04</v>
      </c>
      <c r="I486" s="28">
        <v>0</v>
      </c>
      <c r="J486" s="28">
        <f t="shared" si="67"/>
        <v>16393.04</v>
      </c>
      <c r="K486" s="28">
        <f>+IFERROR(VLOOKUP(A486,TB310320119!$A$11:$C$422,2,0),0)</f>
        <v>0</v>
      </c>
      <c r="L486" s="28">
        <v>0</v>
      </c>
      <c r="M486" s="28">
        <f t="shared" si="68"/>
        <v>0</v>
      </c>
      <c r="N486" s="28">
        <f>+IFERROR(VLOOKUP(A486,TB310320119!$A$11:$C$421,3,0),0)</f>
        <v>9720.0400000000009</v>
      </c>
      <c r="O486" s="28">
        <v>0</v>
      </c>
      <c r="P486" s="28">
        <f t="shared" si="65"/>
        <v>9720.0400000000009</v>
      </c>
      <c r="Q486" s="20">
        <f t="shared" si="69"/>
        <v>52226.16</v>
      </c>
    </row>
    <row r="487" spans="1:17" ht="15" customHeight="1">
      <c r="A487" s="33" t="s">
        <v>733</v>
      </c>
      <c r="B487" s="28">
        <v>8</v>
      </c>
      <c r="C487" s="28" t="s">
        <v>585</v>
      </c>
      <c r="D487" s="28" t="s">
        <v>603</v>
      </c>
      <c r="E487" s="28">
        <f>+IFERROR(VLOOKUP(A487,TB31032020!$A$11:$C$415,2,0),0)</f>
        <v>0</v>
      </c>
      <c r="F487" s="28">
        <v>0</v>
      </c>
      <c r="G487" s="28">
        <f t="shared" si="66"/>
        <v>0</v>
      </c>
      <c r="H487" s="28">
        <f>+IFERROR(VLOOKUP(A487,TB31032020!$A$11:$C$415,3,0),0)</f>
        <v>47856</v>
      </c>
      <c r="I487" s="28">
        <v>0</v>
      </c>
      <c r="J487" s="28">
        <f t="shared" si="67"/>
        <v>47856</v>
      </c>
      <c r="K487" s="28">
        <f>+IFERROR(VLOOKUP(A487,TB310320119!$A$11:$C$422,2,0),0)</f>
        <v>0</v>
      </c>
      <c r="L487" s="28">
        <v>0</v>
      </c>
      <c r="M487" s="28">
        <f t="shared" si="68"/>
        <v>0</v>
      </c>
      <c r="N487" s="28">
        <f>+IFERROR(VLOOKUP(A487,TB310320119!$A$11:$C$421,3,0),0)</f>
        <v>63570</v>
      </c>
      <c r="O487" s="28">
        <v>0</v>
      </c>
      <c r="P487" s="28">
        <f t="shared" si="65"/>
        <v>63570</v>
      </c>
      <c r="Q487" s="20">
        <f t="shared" si="69"/>
        <v>222852</v>
      </c>
    </row>
    <row r="488" spans="1:17" ht="15" customHeight="1">
      <c r="A488" s="33" t="s">
        <v>734</v>
      </c>
      <c r="B488" s="28">
        <v>8</v>
      </c>
      <c r="C488" s="28" t="s">
        <v>585</v>
      </c>
      <c r="D488" s="28" t="s">
        <v>603</v>
      </c>
      <c r="E488" s="28">
        <f>+IFERROR(VLOOKUP(A488,TB31032020!$A$11:$C$415,2,0),0)</f>
        <v>0</v>
      </c>
      <c r="F488" s="28">
        <v>0</v>
      </c>
      <c r="G488" s="28">
        <f t="shared" si="66"/>
        <v>0</v>
      </c>
      <c r="H488" s="28">
        <f>+IFERROR(VLOOKUP(A488,TB31032020!$A$11:$C$415,3,0),0)</f>
        <v>1977</v>
      </c>
      <c r="I488" s="28">
        <v>0</v>
      </c>
      <c r="J488" s="28">
        <f t="shared" si="67"/>
        <v>1977</v>
      </c>
      <c r="K488" s="28">
        <f>+IFERROR(VLOOKUP(A488,TB310320119!$A$11:$C$422,2,0),0)</f>
        <v>0</v>
      </c>
      <c r="L488" s="28">
        <v>0</v>
      </c>
      <c r="M488" s="28">
        <f t="shared" si="68"/>
        <v>0</v>
      </c>
      <c r="N488" s="28">
        <f>+IFERROR(VLOOKUP(A488,TB310320119!$A$11:$C$421,3,0),0)</f>
        <v>1977</v>
      </c>
      <c r="O488" s="28">
        <v>0</v>
      </c>
      <c r="P488" s="28">
        <f t="shared" si="65"/>
        <v>1977</v>
      </c>
      <c r="Q488" s="20">
        <f t="shared" si="69"/>
        <v>7908</v>
      </c>
    </row>
    <row r="489" spans="1:17" ht="15" customHeight="1">
      <c r="A489" s="29" t="s">
        <v>383</v>
      </c>
      <c r="B489" s="28">
        <v>8</v>
      </c>
      <c r="C489" s="28" t="s">
        <v>585</v>
      </c>
      <c r="D489" s="28" t="s">
        <v>603</v>
      </c>
      <c r="E489" s="28">
        <f>+IFERROR(VLOOKUP(A489,TB31032020!$A$11:$C$415,2,0),0)</f>
        <v>0</v>
      </c>
      <c r="F489" s="28">
        <v>0</v>
      </c>
      <c r="G489" s="28">
        <f t="shared" si="66"/>
        <v>0</v>
      </c>
      <c r="H489" s="28">
        <f>+IFERROR(VLOOKUP(A489,TB31032020!$A$11:$C$415,3,0),0)</f>
        <v>51303.4</v>
      </c>
      <c r="I489" s="28">
        <v>0</v>
      </c>
      <c r="J489" s="28">
        <f t="shared" si="67"/>
        <v>51303.4</v>
      </c>
      <c r="K489" s="28">
        <f>+IFERROR(VLOOKUP(A489,TB310320119!$A$11:$C$422,2,0),0)</f>
        <v>0</v>
      </c>
      <c r="L489" s="28">
        <v>0</v>
      </c>
      <c r="M489" s="28">
        <f t="shared" si="68"/>
        <v>0</v>
      </c>
      <c r="N489" s="28">
        <f>+IFERROR(VLOOKUP(A489,TB310320119!$A$11:$C$421,3,0),0)</f>
        <v>814.4</v>
      </c>
      <c r="O489" s="28">
        <v>0</v>
      </c>
      <c r="P489" s="28">
        <f t="shared" si="65"/>
        <v>814.4</v>
      </c>
      <c r="Q489" s="20">
        <f t="shared" si="69"/>
        <v>104235.59999999999</v>
      </c>
    </row>
    <row r="490" spans="1:17" ht="15" customHeight="1">
      <c r="A490" s="59" t="s">
        <v>381</v>
      </c>
      <c r="B490" s="28">
        <v>8</v>
      </c>
      <c r="C490" s="28" t="s">
        <v>585</v>
      </c>
      <c r="D490" s="28" t="s">
        <v>603</v>
      </c>
      <c r="E490" s="28">
        <f>+IFERROR(VLOOKUP(A490,TB31032020!$A$11:$C$415,2,0),0)</f>
        <v>0</v>
      </c>
      <c r="F490" s="28">
        <v>0</v>
      </c>
      <c r="G490" s="28">
        <f t="shared" si="66"/>
        <v>0</v>
      </c>
      <c r="H490" s="28">
        <f>+IFERROR(VLOOKUP(A490,TB31032020!$A$11:$C$415,3,0),0)</f>
        <v>92000</v>
      </c>
      <c r="I490" s="28">
        <v>0</v>
      </c>
      <c r="J490" s="28">
        <f t="shared" si="67"/>
        <v>92000</v>
      </c>
      <c r="K490" s="28">
        <f>+IFERROR(VLOOKUP(A490,TB310320119!$A$11:$C$422,2,0),0)</f>
        <v>0</v>
      </c>
      <c r="L490" s="28">
        <v>0</v>
      </c>
      <c r="M490" s="28">
        <f t="shared" si="68"/>
        <v>0</v>
      </c>
      <c r="N490" s="28">
        <f>+IFERROR(VLOOKUP(A490,TB310320119!$A$11:$C$421,3,0),0)</f>
        <v>122000</v>
      </c>
      <c r="O490" s="28">
        <v>0</v>
      </c>
      <c r="P490" s="28">
        <f t="shared" si="65"/>
        <v>122000</v>
      </c>
      <c r="Q490" s="20">
        <f t="shared" si="69"/>
        <v>428000</v>
      </c>
    </row>
    <row r="491" spans="1:17" ht="15" customHeight="1">
      <c r="A491" s="33" t="s">
        <v>735</v>
      </c>
      <c r="B491" s="28">
        <v>26</v>
      </c>
      <c r="C491" s="28" t="s">
        <v>568</v>
      </c>
      <c r="D491" s="28" t="s">
        <v>736</v>
      </c>
      <c r="E491" s="28">
        <f>+IFERROR(VLOOKUP(A491,TB31032020!$A$11:$C$415,2,0),0)</f>
        <v>57609.08</v>
      </c>
      <c r="F491" s="28">
        <v>0</v>
      </c>
      <c r="G491" s="28">
        <f t="shared" si="66"/>
        <v>57609.08</v>
      </c>
      <c r="H491" s="28">
        <f>+IFERROR(VLOOKUP(A491,TB31032020!$A$11:$C$415,3,0),0)</f>
        <v>0</v>
      </c>
      <c r="I491" s="28">
        <v>0</v>
      </c>
      <c r="J491" s="28">
        <f t="shared" si="67"/>
        <v>0</v>
      </c>
      <c r="K491" s="28">
        <f>+IFERROR(VLOOKUP(A491,TB310320119!$A$11:$C$422,2,0),0)</f>
        <v>107805.92</v>
      </c>
      <c r="L491" s="28">
        <v>0</v>
      </c>
      <c r="M491" s="28">
        <f t="shared" si="68"/>
        <v>107805.92</v>
      </c>
      <c r="N491" s="28">
        <f>+IFERROR(VLOOKUP(A491,TB310320119!$A$11:$C$421,3,0),0)</f>
        <v>0</v>
      </c>
      <c r="O491" s="28">
        <v>0</v>
      </c>
      <c r="P491" s="28">
        <f t="shared" si="65"/>
        <v>0</v>
      </c>
      <c r="Q491" s="20">
        <f t="shared" si="69"/>
        <v>330830</v>
      </c>
    </row>
    <row r="492" spans="1:17" ht="15" customHeight="1">
      <c r="A492" s="33" t="s">
        <v>385</v>
      </c>
      <c r="B492" s="28">
        <v>7</v>
      </c>
      <c r="C492" s="28" t="s">
        <v>561</v>
      </c>
      <c r="D492" s="28" t="s">
        <v>562</v>
      </c>
      <c r="E492" s="28">
        <f>+IFERROR(VLOOKUP(A492,TB31032020!$A$11:$C$415,2,0),0)</f>
        <v>0</v>
      </c>
      <c r="F492" s="28">
        <v>0</v>
      </c>
      <c r="G492" s="28">
        <f t="shared" si="66"/>
        <v>0</v>
      </c>
      <c r="H492" s="28">
        <f>+IFERROR(VLOOKUP(A492,TB31032020!$A$11:$C$415,3,0),0)</f>
        <v>1579</v>
      </c>
      <c r="I492" s="28">
        <v>0</v>
      </c>
      <c r="J492" s="28">
        <f t="shared" si="67"/>
        <v>1579</v>
      </c>
      <c r="K492" s="28">
        <f>+IFERROR(VLOOKUP(A492,TB310320119!$A$11:$C$422,2,0),0)</f>
        <v>0</v>
      </c>
      <c r="L492" s="28">
        <v>0</v>
      </c>
      <c r="M492" s="28">
        <f t="shared" si="68"/>
        <v>0</v>
      </c>
      <c r="N492" s="28">
        <f>+IFERROR(VLOOKUP(A492,TB310320119!$A$11:$C$421,3,0),0)</f>
        <v>6466.92</v>
      </c>
      <c r="O492" s="28">
        <v>0</v>
      </c>
      <c r="P492" s="28">
        <f t="shared" si="65"/>
        <v>6466.92</v>
      </c>
      <c r="Q492" s="20">
        <f t="shared" si="69"/>
        <v>16091.84</v>
      </c>
    </row>
    <row r="493" spans="1:17" ht="15" customHeight="1">
      <c r="A493" s="33" t="s">
        <v>386</v>
      </c>
      <c r="B493" s="28">
        <v>26</v>
      </c>
      <c r="C493" s="28" t="s">
        <v>568</v>
      </c>
      <c r="D493" s="28" t="s">
        <v>591</v>
      </c>
      <c r="E493" s="28">
        <f>+IFERROR(VLOOKUP(A493,TB31032020!$A$11:$C$415,2,0),0)</f>
        <v>97188</v>
      </c>
      <c r="F493" s="28">
        <v>0</v>
      </c>
      <c r="G493" s="28">
        <f t="shared" si="66"/>
        <v>97188</v>
      </c>
      <c r="H493" s="28">
        <f>+IFERROR(VLOOKUP(A493,TB31032020!$A$11:$C$415,3,0),0)</f>
        <v>0</v>
      </c>
      <c r="I493" s="28">
        <v>0</v>
      </c>
      <c r="J493" s="28">
        <f t="shared" si="67"/>
        <v>0</v>
      </c>
      <c r="K493" s="28">
        <f>+IFERROR(VLOOKUP(A493,TB310320119!$A$11:$C$422,2,0),0)</f>
        <v>14800</v>
      </c>
      <c r="L493" s="28">
        <v>0</v>
      </c>
      <c r="M493" s="28">
        <f t="shared" si="68"/>
        <v>14800</v>
      </c>
      <c r="N493" s="28">
        <f>+IFERROR(VLOOKUP(A493,TB310320119!$A$11:$C$421,3,0),0)</f>
        <v>0</v>
      </c>
      <c r="O493" s="28">
        <v>0</v>
      </c>
      <c r="P493" s="28">
        <f t="shared" si="65"/>
        <v>0</v>
      </c>
      <c r="Q493" s="20">
        <f t="shared" si="69"/>
        <v>223976</v>
      </c>
    </row>
    <row r="494" spans="1:17" ht="15" customHeight="1">
      <c r="A494" s="38" t="s">
        <v>528</v>
      </c>
      <c r="B494" s="28">
        <v>8</v>
      </c>
      <c r="C494" s="28" t="s">
        <v>585</v>
      </c>
      <c r="D494" s="28" t="s">
        <v>586</v>
      </c>
      <c r="E494" s="28">
        <f>+IFERROR(VLOOKUP(A494,TB31032020!$A$11:$C$415,2,0),0)</f>
        <v>0</v>
      </c>
      <c r="F494" s="28">
        <v>0</v>
      </c>
      <c r="G494" s="28">
        <f t="shared" si="66"/>
        <v>0</v>
      </c>
      <c r="H494" s="28">
        <f>+IFERROR(VLOOKUP(A494,TB31032020!$A$11:$C$415,3,0),0)</f>
        <v>0</v>
      </c>
      <c r="I494" s="28">
        <v>0</v>
      </c>
      <c r="J494" s="28">
        <f t="shared" si="67"/>
        <v>0</v>
      </c>
      <c r="K494" s="28">
        <f>+IFERROR(VLOOKUP(A494,TB310320119!$A$11:$C$422,2,0),0)</f>
        <v>0</v>
      </c>
      <c r="L494" s="28">
        <v>0</v>
      </c>
      <c r="M494" s="28">
        <f t="shared" si="68"/>
        <v>0</v>
      </c>
      <c r="N494" s="28">
        <f>+IFERROR(VLOOKUP(A494,TB310320119!$A$11:$C$421,3,0),0)</f>
        <v>163898</v>
      </c>
      <c r="O494" s="28">
        <v>0</v>
      </c>
      <c r="P494" s="28">
        <f t="shared" si="65"/>
        <v>163898</v>
      </c>
      <c r="Q494" s="20">
        <f t="shared" si="69"/>
        <v>327796</v>
      </c>
    </row>
    <row r="495" spans="1:17" ht="15" customHeight="1">
      <c r="A495" s="33" t="s">
        <v>387</v>
      </c>
      <c r="B495" s="28">
        <v>7</v>
      </c>
      <c r="C495" s="28" t="s">
        <v>561</v>
      </c>
      <c r="D495" s="28" t="s">
        <v>561</v>
      </c>
      <c r="E495" s="28">
        <f>+IFERROR(VLOOKUP(A495,TB31032020!$A$11:$C$415,2,0),0)</f>
        <v>0</v>
      </c>
      <c r="F495" s="28">
        <v>0</v>
      </c>
      <c r="G495" s="28">
        <f t="shared" si="66"/>
        <v>0</v>
      </c>
      <c r="H495" s="28">
        <f>+IFERROR(VLOOKUP(A495,TB31032020!$A$11:$C$415,3,0),0)</f>
        <v>553184</v>
      </c>
      <c r="I495" s="28">
        <v>0</v>
      </c>
      <c r="J495" s="28">
        <f t="shared" si="67"/>
        <v>553184</v>
      </c>
      <c r="K495" s="28">
        <f>+IFERROR(VLOOKUP(A495,TB310320119!$A$11:$C$422,2,0),0)</f>
        <v>0</v>
      </c>
      <c r="L495" s="28">
        <v>0</v>
      </c>
      <c r="M495" s="28">
        <f t="shared" si="68"/>
        <v>0</v>
      </c>
      <c r="N495" s="28">
        <f>+IFERROR(VLOOKUP(A495,TB310320119!$A$11:$C$421,3,0),0)</f>
        <v>303024</v>
      </c>
      <c r="O495" s="28">
        <v>0</v>
      </c>
      <c r="P495" s="28">
        <f t="shared" si="65"/>
        <v>303024</v>
      </c>
      <c r="Q495" s="20">
        <f t="shared" si="69"/>
        <v>1712416</v>
      </c>
    </row>
    <row r="496" spans="1:17" ht="15" customHeight="1">
      <c r="A496" s="33" t="s">
        <v>737</v>
      </c>
      <c r="B496" s="28">
        <v>19</v>
      </c>
      <c r="C496" s="28" t="s">
        <v>617</v>
      </c>
      <c r="D496" s="28" t="s">
        <v>618</v>
      </c>
      <c r="E496" s="28">
        <f>+IFERROR(VLOOKUP(A496,TB31032020!$A$11:$C$415,2,0),0)</f>
        <v>61964</v>
      </c>
      <c r="F496" s="28">
        <v>0</v>
      </c>
      <c r="G496" s="28">
        <f t="shared" si="66"/>
        <v>61964</v>
      </c>
      <c r="H496" s="28">
        <f>+IFERROR(VLOOKUP(A496,TB31032020!$A$11:$C$415,3,0),0)</f>
        <v>0</v>
      </c>
      <c r="I496" s="28">
        <v>0</v>
      </c>
      <c r="J496" s="28">
        <f t="shared" si="67"/>
        <v>0</v>
      </c>
      <c r="K496" s="28">
        <f>+IFERROR(VLOOKUP(A496,TB310320119!$A$11:$C$422,2,0),0)</f>
        <v>16463</v>
      </c>
      <c r="L496" s="28">
        <v>0</v>
      </c>
      <c r="M496" s="28">
        <f t="shared" si="68"/>
        <v>16463</v>
      </c>
      <c r="N496" s="28">
        <f>+IFERROR(VLOOKUP(A496,TB310320119!$A$11:$C$421,3,0),0)</f>
        <v>0</v>
      </c>
      <c r="O496" s="28">
        <v>0</v>
      </c>
      <c r="P496" s="28">
        <f t="shared" si="65"/>
        <v>0</v>
      </c>
      <c r="Q496" s="20">
        <f t="shared" si="69"/>
        <v>156854</v>
      </c>
    </row>
    <row r="497" spans="1:17" ht="15" customHeight="1">
      <c r="A497" s="33" t="s">
        <v>738</v>
      </c>
      <c r="B497" s="28">
        <v>26</v>
      </c>
      <c r="C497" s="28" t="s">
        <v>568</v>
      </c>
      <c r="D497" s="28" t="s">
        <v>612</v>
      </c>
      <c r="E497" s="28">
        <f>+IFERROR(VLOOKUP(A497,TB31032020!$A$11:$C$415,2,0),0)</f>
        <v>1281082.44</v>
      </c>
      <c r="F497" s="28">
        <v>0</v>
      </c>
      <c r="G497" s="28">
        <f t="shared" si="66"/>
        <v>1281082.44</v>
      </c>
      <c r="H497" s="28">
        <f>+IFERROR(VLOOKUP(A497,TB31032020!$A$11:$C$415,3,0),0)</f>
        <v>0</v>
      </c>
      <c r="I497" s="28">
        <v>0</v>
      </c>
      <c r="J497" s="28">
        <f t="shared" si="67"/>
        <v>0</v>
      </c>
      <c r="K497" s="28">
        <f>+IFERROR(VLOOKUP(A497,TB310320119!$A$11:$C$422,2,0),0)</f>
        <v>622583.19999999995</v>
      </c>
      <c r="L497" s="28">
        <v>0</v>
      </c>
      <c r="M497" s="28">
        <f t="shared" si="68"/>
        <v>622583.19999999995</v>
      </c>
      <c r="N497" s="28">
        <f>+IFERROR(VLOOKUP(A497,TB310320119!$A$11:$C$421,3,0),0)</f>
        <v>0</v>
      </c>
      <c r="O497" s="28">
        <v>0</v>
      </c>
      <c r="P497" s="28">
        <f t="shared" si="65"/>
        <v>0</v>
      </c>
      <c r="Q497" s="20">
        <f t="shared" si="69"/>
        <v>3807331.2800000003</v>
      </c>
    </row>
    <row r="498" spans="1:17" ht="15" customHeight="1">
      <c r="A498" s="33" t="s">
        <v>739</v>
      </c>
      <c r="B498" s="28">
        <v>7</v>
      </c>
      <c r="C498" s="28" t="s">
        <v>561</v>
      </c>
      <c r="D498" s="28" t="s">
        <v>561</v>
      </c>
      <c r="E498" s="28">
        <f>+IFERROR(VLOOKUP(A498,TB31032020!$A$11:$C$415,2,0),0)</f>
        <v>0</v>
      </c>
      <c r="F498" s="28">
        <v>0</v>
      </c>
      <c r="G498" s="28">
        <f t="shared" si="66"/>
        <v>0</v>
      </c>
      <c r="H498" s="28">
        <f>+IFERROR(VLOOKUP(A498,TB31032020!$A$11:$C$415,3,0),0)</f>
        <v>88755</v>
      </c>
      <c r="I498" s="28">
        <v>0</v>
      </c>
      <c r="J498" s="28">
        <f t="shared" si="67"/>
        <v>88755</v>
      </c>
      <c r="K498" s="28">
        <f>+IFERROR(VLOOKUP(A498,TB310320119!$A$11:$C$422,2,0),0)</f>
        <v>0</v>
      </c>
      <c r="L498" s="28">
        <v>0</v>
      </c>
      <c r="M498" s="28">
        <f t="shared" si="68"/>
        <v>0</v>
      </c>
      <c r="N498" s="28">
        <f>+IFERROR(VLOOKUP(A498,TB310320119!$A$11:$C$421,3,0),0)</f>
        <v>90301</v>
      </c>
      <c r="O498" s="28">
        <v>0</v>
      </c>
      <c r="P498" s="28">
        <f t="shared" ref="P498:P541" si="73">N498+O498</f>
        <v>90301</v>
      </c>
      <c r="Q498" s="20">
        <f t="shared" si="69"/>
        <v>358112</v>
      </c>
    </row>
    <row r="499" spans="1:17" ht="15" customHeight="1">
      <c r="A499" s="32" t="s">
        <v>391</v>
      </c>
      <c r="B499" s="28">
        <v>15</v>
      </c>
      <c r="C499" s="28" t="s">
        <v>563</v>
      </c>
      <c r="D499" s="28" t="s">
        <v>564</v>
      </c>
      <c r="E499" s="28">
        <f>+IFERROR(VLOOKUP(A499,TB31032020!$A$11:$C$415,2,0),0)</f>
        <v>333284</v>
      </c>
      <c r="F499" s="28">
        <v>0</v>
      </c>
      <c r="G499" s="28">
        <f t="shared" si="66"/>
        <v>333284</v>
      </c>
      <c r="H499" s="28">
        <f>+IFERROR(VLOOKUP(A499,TB31032020!$A$11:$C$415,3,0),0)</f>
        <v>0</v>
      </c>
      <c r="I499" s="28">
        <v>0</v>
      </c>
      <c r="J499" s="28">
        <f t="shared" si="67"/>
        <v>0</v>
      </c>
      <c r="K499" s="28">
        <f>+IFERROR(VLOOKUP(A499,TB310320119!$A$11:$C$422,2,0),0)</f>
        <v>0</v>
      </c>
      <c r="L499" s="28">
        <v>0</v>
      </c>
      <c r="M499" s="28">
        <f t="shared" si="68"/>
        <v>0</v>
      </c>
      <c r="N499" s="28">
        <f>+IFERROR(VLOOKUP(A499,TB310320119!$A$11:$C$421,3,0),0)</f>
        <v>0</v>
      </c>
      <c r="O499" s="28">
        <v>0</v>
      </c>
      <c r="P499" s="28">
        <f t="shared" si="73"/>
        <v>0</v>
      </c>
      <c r="Q499" s="20">
        <f t="shared" si="69"/>
        <v>666568</v>
      </c>
    </row>
    <row r="500" spans="1:17" ht="15" customHeight="1">
      <c r="A500" s="33" t="s">
        <v>740</v>
      </c>
      <c r="B500" s="28">
        <v>22</v>
      </c>
      <c r="C500" s="28" t="s">
        <v>581</v>
      </c>
      <c r="D500" s="28" t="s">
        <v>582</v>
      </c>
      <c r="E500" s="28">
        <f>+IFERROR(VLOOKUP(A500,TB31032020!$A$11:$C$415,2,0),0)</f>
        <v>676306.5</v>
      </c>
      <c r="F500" s="28">
        <v>0</v>
      </c>
      <c r="G500" s="28">
        <f t="shared" si="66"/>
        <v>676306.5</v>
      </c>
      <c r="H500" s="28">
        <f>+IFERROR(VLOOKUP(A500,TB31032020!$A$11:$C$415,3,0),0)</f>
        <v>0</v>
      </c>
      <c r="I500" s="28">
        <v>0</v>
      </c>
      <c r="J500" s="28">
        <f t="shared" si="67"/>
        <v>0</v>
      </c>
      <c r="K500" s="28">
        <f>+IFERROR(VLOOKUP(A500,TB310320119!$A$11:$C$422,2,0),0)</f>
        <v>767149</v>
      </c>
      <c r="L500" s="28">
        <v>0</v>
      </c>
      <c r="M500" s="28">
        <f t="shared" si="68"/>
        <v>767149</v>
      </c>
      <c r="N500" s="28">
        <f>+IFERROR(VLOOKUP(A500,TB310320119!$A$11:$C$421,3,0),0)</f>
        <v>0</v>
      </c>
      <c r="O500" s="28">
        <v>0</v>
      </c>
      <c r="P500" s="28">
        <f t="shared" si="73"/>
        <v>0</v>
      </c>
      <c r="Q500" s="20">
        <f t="shared" si="69"/>
        <v>2886911</v>
      </c>
    </row>
    <row r="501" spans="1:17" ht="15" customHeight="1">
      <c r="A501" s="36" t="s">
        <v>392</v>
      </c>
      <c r="B501" s="28">
        <v>22</v>
      </c>
      <c r="C501" s="28" t="s">
        <v>581</v>
      </c>
      <c r="D501" s="28" t="s">
        <v>582</v>
      </c>
      <c r="E501" s="28">
        <f>+IFERROR(VLOOKUP(A501,TB31032020!$A$11:$C$415,2,0),0)</f>
        <v>900</v>
      </c>
      <c r="F501" s="28">
        <v>0</v>
      </c>
      <c r="G501" s="28">
        <f t="shared" si="66"/>
        <v>900</v>
      </c>
      <c r="H501" s="28">
        <f>+IFERROR(VLOOKUP(A501,TB31032020!$A$11:$C$415,3,0),0)</f>
        <v>0</v>
      </c>
      <c r="I501" s="28">
        <v>0</v>
      </c>
      <c r="J501" s="28">
        <f t="shared" si="67"/>
        <v>0</v>
      </c>
      <c r="K501" s="28">
        <f>+IFERROR(VLOOKUP(A501,TB310320119!$A$11:$C$422,2,0),0)</f>
        <v>0</v>
      </c>
      <c r="L501" s="28">
        <v>0</v>
      </c>
      <c r="M501" s="28">
        <f t="shared" si="68"/>
        <v>0</v>
      </c>
      <c r="N501" s="28">
        <f>+IFERROR(VLOOKUP(A501,TB310320119!$A$11:$C$421,3,0),0)</f>
        <v>0</v>
      </c>
      <c r="O501" s="28">
        <v>0</v>
      </c>
      <c r="P501" s="28">
        <f t="shared" si="73"/>
        <v>0</v>
      </c>
      <c r="Q501" s="20">
        <f t="shared" si="69"/>
        <v>1800</v>
      </c>
    </row>
    <row r="502" spans="1:17" ht="15" customHeight="1">
      <c r="A502" s="33" t="s">
        <v>741</v>
      </c>
      <c r="B502" s="28">
        <v>26</v>
      </c>
      <c r="C502" s="28" t="s">
        <v>568</v>
      </c>
      <c r="D502" s="28" t="s">
        <v>583</v>
      </c>
      <c r="E502" s="28">
        <f>+IFERROR(VLOOKUP(A502,TB31032020!$A$11:$C$415,2,0),0)</f>
        <v>350000</v>
      </c>
      <c r="F502" s="28">
        <v>0</v>
      </c>
      <c r="G502" s="28">
        <f t="shared" si="66"/>
        <v>350000</v>
      </c>
      <c r="H502" s="28">
        <f>+IFERROR(VLOOKUP(A502,TB31032020!$A$11:$C$415,3,0),0)</f>
        <v>0</v>
      </c>
      <c r="I502" s="28">
        <v>0</v>
      </c>
      <c r="J502" s="28">
        <f t="shared" si="67"/>
        <v>0</v>
      </c>
      <c r="K502" s="28">
        <f>+IFERROR(VLOOKUP(A502,TB310320119!$A$11:$C$422,2,0),0)</f>
        <v>375000</v>
      </c>
      <c r="L502" s="28">
        <v>0</v>
      </c>
      <c r="M502" s="28">
        <f t="shared" si="68"/>
        <v>375000</v>
      </c>
      <c r="N502" s="28">
        <f>+IFERROR(VLOOKUP(A502,TB310320119!$A$11:$C$421,3,0),0)</f>
        <v>0</v>
      </c>
      <c r="O502" s="28">
        <v>0</v>
      </c>
      <c r="P502" s="28">
        <f t="shared" si="73"/>
        <v>0</v>
      </c>
      <c r="Q502" s="20">
        <f t="shared" si="69"/>
        <v>1450000</v>
      </c>
    </row>
    <row r="503" spans="1:17" ht="15" customHeight="1">
      <c r="A503" s="32" t="s">
        <v>395</v>
      </c>
      <c r="B503" s="28">
        <v>15</v>
      </c>
      <c r="C503" s="28" t="s">
        <v>563</v>
      </c>
      <c r="D503" s="28" t="s">
        <v>564</v>
      </c>
      <c r="E503" s="28">
        <f>+IFERROR(VLOOKUP(A503,TB31032020!$A$11:$C$415,2,0),0)</f>
        <v>122689</v>
      </c>
      <c r="F503" s="28">
        <v>0</v>
      </c>
      <c r="G503" s="28">
        <f t="shared" si="66"/>
        <v>122689</v>
      </c>
      <c r="H503" s="28">
        <f>+IFERROR(VLOOKUP(A503,TB31032020!$A$11:$C$415,3,0),0)</f>
        <v>0</v>
      </c>
      <c r="I503" s="28">
        <v>0</v>
      </c>
      <c r="J503" s="28">
        <f t="shared" si="67"/>
        <v>0</v>
      </c>
      <c r="K503" s="28">
        <f>+IFERROR(VLOOKUP(A503,TB310320119!$A$11:$C$422,2,0),0)</f>
        <v>0</v>
      </c>
      <c r="L503" s="28">
        <v>0</v>
      </c>
      <c r="M503" s="28">
        <f t="shared" si="68"/>
        <v>0</v>
      </c>
      <c r="N503" s="28">
        <f>+IFERROR(VLOOKUP(A503,TB310320119!$A$11:$C$421,3,0),0)</f>
        <v>0</v>
      </c>
      <c r="O503" s="28">
        <v>0</v>
      </c>
      <c r="P503" s="28">
        <f t="shared" si="73"/>
        <v>0</v>
      </c>
      <c r="Q503" s="20">
        <f t="shared" si="69"/>
        <v>245378</v>
      </c>
    </row>
    <row r="504" spans="1:17" ht="15" customHeight="1">
      <c r="A504" s="38" t="s">
        <v>396</v>
      </c>
      <c r="B504" s="28">
        <v>7</v>
      </c>
      <c r="C504" s="28" t="s">
        <v>561</v>
      </c>
      <c r="D504" s="28" t="s">
        <v>562</v>
      </c>
      <c r="E504" s="28">
        <f>+IFERROR(VLOOKUP(A504,TB31032020!$A$11:$C$415,2,0),0)</f>
        <v>0</v>
      </c>
      <c r="F504" s="28">
        <v>0</v>
      </c>
      <c r="G504" s="28">
        <f t="shared" si="66"/>
        <v>0</v>
      </c>
      <c r="H504" s="28">
        <f>+IFERROR(VLOOKUP(A504,TB31032020!$A$11:$C$415,3,0),0)</f>
        <v>92820</v>
      </c>
      <c r="I504" s="28">
        <v>0</v>
      </c>
      <c r="J504" s="28">
        <f t="shared" si="67"/>
        <v>92820</v>
      </c>
      <c r="K504" s="28">
        <f>+IFERROR(VLOOKUP(A504,TB310320119!$A$11:$C$422,2,0),0)</f>
        <v>0</v>
      </c>
      <c r="L504" s="28">
        <v>0</v>
      </c>
      <c r="M504" s="28">
        <f t="shared" si="68"/>
        <v>0</v>
      </c>
      <c r="N504" s="28">
        <f>+IFERROR(VLOOKUP(A504,TB310320119!$A$11:$C$421,3,0),0)</f>
        <v>82180</v>
      </c>
      <c r="O504" s="28">
        <v>0</v>
      </c>
      <c r="P504" s="28">
        <f t="shared" si="73"/>
        <v>82180</v>
      </c>
      <c r="Q504" s="20">
        <f t="shared" si="69"/>
        <v>350000</v>
      </c>
    </row>
    <row r="505" spans="1:17" ht="15" customHeight="1">
      <c r="A505" s="34" t="s">
        <v>397</v>
      </c>
      <c r="B505" s="28">
        <v>7</v>
      </c>
      <c r="C505" s="28" t="s">
        <v>561</v>
      </c>
      <c r="D505" s="28" t="s">
        <v>561</v>
      </c>
      <c r="E505" s="28">
        <f>+IFERROR(VLOOKUP(A505,TB31032020!$A$11:$C$415,2,0),0)</f>
        <v>0</v>
      </c>
      <c r="F505" s="28">
        <v>0</v>
      </c>
      <c r="G505" s="28">
        <f t="shared" si="66"/>
        <v>0</v>
      </c>
      <c r="H505" s="28">
        <f>+IFERROR(VLOOKUP(A505,TB31032020!$A$11:$C$415,3,0),0)</f>
        <v>2274218</v>
      </c>
      <c r="I505" s="28">
        <v>0</v>
      </c>
      <c r="J505" s="28">
        <f t="shared" si="67"/>
        <v>2274218</v>
      </c>
      <c r="K505" s="28">
        <f>+IFERROR(VLOOKUP(A505,TB310320119!$A$11:$C$422,2,0),0)</f>
        <v>0</v>
      </c>
      <c r="L505" s="28">
        <v>0</v>
      </c>
      <c r="M505" s="28">
        <f t="shared" si="68"/>
        <v>0</v>
      </c>
      <c r="N505" s="28">
        <f>+IFERROR(VLOOKUP(A505,TB310320119!$A$11:$C$421,3,0),0)</f>
        <v>1276901</v>
      </c>
      <c r="O505" s="28">
        <v>0</v>
      </c>
      <c r="P505" s="28">
        <f t="shared" si="73"/>
        <v>1276901</v>
      </c>
      <c r="Q505" s="20">
        <f t="shared" si="69"/>
        <v>7102238</v>
      </c>
    </row>
    <row r="506" spans="1:17">
      <c r="A506" s="45" t="s">
        <v>529</v>
      </c>
      <c r="B506" s="28">
        <v>7</v>
      </c>
      <c r="C506" s="28" t="s">
        <v>561</v>
      </c>
      <c r="D506" s="28" t="s">
        <v>561</v>
      </c>
      <c r="E506" s="28">
        <f>+IFERROR(VLOOKUP(A506,TB31032020!$A$11:$C$415,2,0),0)</f>
        <v>0</v>
      </c>
      <c r="F506" s="28">
        <v>0</v>
      </c>
      <c r="G506" s="28">
        <f t="shared" si="66"/>
        <v>0</v>
      </c>
      <c r="H506" s="28">
        <f>+IFERROR(VLOOKUP(A506,TB31032020!$A$11:$C$415,3,0),0)</f>
        <v>0</v>
      </c>
      <c r="I506" s="28">
        <v>0</v>
      </c>
      <c r="J506" s="28">
        <f t="shared" si="67"/>
        <v>0</v>
      </c>
      <c r="K506" s="28">
        <f>+IFERROR(VLOOKUP(A506,TB310320119!$A$11:$C$422,2,0),0)</f>
        <v>0</v>
      </c>
      <c r="L506" s="28">
        <v>0</v>
      </c>
      <c r="M506" s="28">
        <f t="shared" si="68"/>
        <v>0</v>
      </c>
      <c r="N506" s="28">
        <f>+IFERROR(VLOOKUP(A506,TB310320119!$A$11:$C$421,3,0),0)</f>
        <v>51588</v>
      </c>
      <c r="O506" s="28">
        <v>0</v>
      </c>
      <c r="P506" s="28">
        <f t="shared" si="73"/>
        <v>51588</v>
      </c>
      <c r="Q506" s="20">
        <f t="shared" si="69"/>
        <v>103176</v>
      </c>
    </row>
    <row r="507" spans="1:17">
      <c r="A507" s="39" t="s">
        <v>398</v>
      </c>
      <c r="B507" s="28">
        <v>26</v>
      </c>
      <c r="C507" s="28" t="s">
        <v>568</v>
      </c>
      <c r="D507" s="28" t="s">
        <v>569</v>
      </c>
      <c r="E507" s="28">
        <f>+IFERROR(VLOOKUP(A507,TB31032020!$A$11:$C$415,2,0),0)</f>
        <v>0</v>
      </c>
      <c r="F507" s="28">
        <v>0</v>
      </c>
      <c r="G507" s="28">
        <f t="shared" si="66"/>
        <v>0</v>
      </c>
      <c r="H507" s="28">
        <f>+IFERROR(VLOOKUP(A507,TB31032020!$A$11:$C$415,3,0),0)</f>
        <v>0</v>
      </c>
      <c r="I507" s="28">
        <v>0</v>
      </c>
      <c r="J507" s="28">
        <f t="shared" si="67"/>
        <v>0</v>
      </c>
      <c r="K507" s="28">
        <f>+IFERROR(VLOOKUP(A507,TB310320119!$A$11:$C$422,2,0),0)</f>
        <v>0</v>
      </c>
      <c r="L507" s="28">
        <v>0</v>
      </c>
      <c r="M507" s="28">
        <f t="shared" si="68"/>
        <v>0</v>
      </c>
      <c r="N507" s="28">
        <f>+IFERROR(VLOOKUP(A507,TB310320119!$A$11:$C$421,3,0),0)</f>
        <v>0</v>
      </c>
      <c r="O507" s="28">
        <v>0</v>
      </c>
      <c r="P507" s="28">
        <f t="shared" si="73"/>
        <v>0</v>
      </c>
      <c r="Q507" s="20">
        <f t="shared" si="69"/>
        <v>0</v>
      </c>
    </row>
    <row r="508" spans="1:17" ht="15" customHeight="1">
      <c r="A508" s="39" t="s">
        <v>399</v>
      </c>
      <c r="B508" s="28">
        <v>26</v>
      </c>
      <c r="C508" s="28" t="s">
        <v>568</v>
      </c>
      <c r="D508" s="28" t="s">
        <v>569</v>
      </c>
      <c r="E508" s="28">
        <f>+IFERROR(VLOOKUP(A508,TB31032020!$A$11:$C$415,2,0),0)</f>
        <v>0</v>
      </c>
      <c r="F508" s="28">
        <v>0</v>
      </c>
      <c r="G508" s="28">
        <f t="shared" si="66"/>
        <v>0</v>
      </c>
      <c r="H508" s="28">
        <f>+IFERROR(VLOOKUP(A508,TB31032020!$A$11:$C$415,3,0),0)</f>
        <v>0</v>
      </c>
      <c r="I508" s="28">
        <v>0</v>
      </c>
      <c r="J508" s="28">
        <f t="shared" si="67"/>
        <v>0</v>
      </c>
      <c r="K508" s="28">
        <f>+IFERROR(VLOOKUP(A508,TB310320119!$A$11:$C$422,2,0),0)</f>
        <v>0</v>
      </c>
      <c r="L508" s="28">
        <v>0</v>
      </c>
      <c r="M508" s="28">
        <f t="shared" si="68"/>
        <v>0</v>
      </c>
      <c r="N508" s="28">
        <f>+IFERROR(VLOOKUP(A508,TB310320119!$A$11:$C$421,3,0),0)</f>
        <v>0</v>
      </c>
      <c r="O508" s="28">
        <v>0</v>
      </c>
      <c r="P508" s="28">
        <f t="shared" si="73"/>
        <v>0</v>
      </c>
      <c r="Q508" s="20">
        <f t="shared" si="69"/>
        <v>0</v>
      </c>
    </row>
    <row r="509" spans="1:17" ht="15" customHeight="1">
      <c r="A509" s="39" t="s">
        <v>1977</v>
      </c>
      <c r="B509" s="28">
        <v>26</v>
      </c>
      <c r="C509" s="28" t="s">
        <v>568</v>
      </c>
      <c r="D509" s="28" t="s">
        <v>569</v>
      </c>
      <c r="E509" s="28">
        <f>+IFERROR(VLOOKUP(A509,TB31032020!$A$11:$C$415,2,0),0)</f>
        <v>24429.360000000001</v>
      </c>
      <c r="F509" s="28">
        <v>0</v>
      </c>
      <c r="G509" s="28">
        <f t="shared" ref="G509" si="74">+E509+F509</f>
        <v>24429.360000000001</v>
      </c>
      <c r="H509" s="28">
        <f>+IFERROR(VLOOKUP(A509,TB31032020!$A$11:$C$415,3,0),0)</f>
        <v>0</v>
      </c>
      <c r="I509" s="28">
        <v>0</v>
      </c>
      <c r="J509" s="28">
        <f t="shared" ref="J509" si="75">+H509+I509</f>
        <v>0</v>
      </c>
      <c r="K509" s="28">
        <f>+IFERROR(VLOOKUP(A509,TB310320119!$A$11:$C$422,2,0),0)</f>
        <v>0</v>
      </c>
      <c r="L509" s="28">
        <v>0</v>
      </c>
      <c r="M509" s="28">
        <f t="shared" ref="M509" si="76">K509+L509</f>
        <v>0</v>
      </c>
      <c r="N509" s="28">
        <f>+IFERROR(VLOOKUP(A509,TB310320119!$A$11:$C$421,3,0),0)</f>
        <v>0</v>
      </c>
      <c r="O509" s="28">
        <v>0</v>
      </c>
      <c r="P509" s="28">
        <f t="shared" ref="P509" si="77">N509+O509</f>
        <v>0</v>
      </c>
      <c r="Q509" s="20">
        <f t="shared" ref="Q509" si="78">+SUM(E509:P509)</f>
        <v>48858.720000000001</v>
      </c>
    </row>
    <row r="510" spans="1:17" ht="15" customHeight="1">
      <c r="A510" s="33" t="s">
        <v>530</v>
      </c>
      <c r="B510" s="28">
        <v>26</v>
      </c>
      <c r="C510" s="28" t="s">
        <v>568</v>
      </c>
      <c r="D510" s="28" t="s">
        <v>569</v>
      </c>
      <c r="E510" s="28">
        <f>+IFERROR(VLOOKUP(A510,TB31032020!$A$11:$C$415,2,0),0)</f>
        <v>0</v>
      </c>
      <c r="F510" s="28">
        <v>0</v>
      </c>
      <c r="G510" s="28">
        <f t="shared" si="66"/>
        <v>0</v>
      </c>
      <c r="H510" s="28">
        <f>+IFERROR(VLOOKUP(A510,TB31032020!$A$11:$C$415,3,0),0)</f>
        <v>0</v>
      </c>
      <c r="I510" s="28">
        <v>0</v>
      </c>
      <c r="J510" s="28">
        <f t="shared" si="67"/>
        <v>0</v>
      </c>
      <c r="K510" s="28">
        <f>+IFERROR(VLOOKUP(A510,TB310320119!$A$11:$C$422,2,0),0)</f>
        <v>427952</v>
      </c>
      <c r="L510" s="28">
        <v>0</v>
      </c>
      <c r="M510" s="28">
        <f t="shared" si="68"/>
        <v>427952</v>
      </c>
      <c r="N510" s="28">
        <f>+IFERROR(VLOOKUP(A510,TB310320119!$A$11:$C$421,3,0),0)</f>
        <v>0</v>
      </c>
      <c r="O510" s="28">
        <v>0</v>
      </c>
      <c r="P510" s="28">
        <f t="shared" si="73"/>
        <v>0</v>
      </c>
      <c r="Q510" s="20">
        <f t="shared" si="69"/>
        <v>855904</v>
      </c>
    </row>
    <row r="511" spans="1:17" ht="15" customHeight="1">
      <c r="A511" s="33" t="s">
        <v>531</v>
      </c>
      <c r="B511" s="28">
        <v>26</v>
      </c>
      <c r="C511" s="28" t="s">
        <v>568</v>
      </c>
      <c r="D511" s="28" t="s">
        <v>609</v>
      </c>
      <c r="E511" s="28">
        <f>+IFERROR(VLOOKUP(A511,TB31032020!$A$11:$C$415,2,0),0)</f>
        <v>0</v>
      </c>
      <c r="F511" s="28">
        <v>0</v>
      </c>
      <c r="G511" s="28">
        <f t="shared" si="66"/>
        <v>0</v>
      </c>
      <c r="H511" s="28">
        <f>+IFERROR(VLOOKUP(A511,TB31032020!$A$11:$C$415,3,0),0)</f>
        <v>0</v>
      </c>
      <c r="I511" s="28">
        <v>0</v>
      </c>
      <c r="J511" s="28">
        <f t="shared" si="67"/>
        <v>0</v>
      </c>
      <c r="K511" s="28">
        <f>+IFERROR(VLOOKUP(A511,TB310320119!$A$11:$C$422,2,0),0)</f>
        <v>37000</v>
      </c>
      <c r="L511" s="28">
        <v>0</v>
      </c>
      <c r="M511" s="28">
        <f t="shared" si="68"/>
        <v>37000</v>
      </c>
      <c r="N511" s="28">
        <f>+IFERROR(VLOOKUP(A511,TB310320119!$A$11:$C$421,3,0),0)</f>
        <v>0</v>
      </c>
      <c r="O511" s="28">
        <v>0</v>
      </c>
      <c r="P511" s="28">
        <f t="shared" si="73"/>
        <v>0</v>
      </c>
      <c r="Q511" s="20">
        <f t="shared" si="69"/>
        <v>74000</v>
      </c>
    </row>
    <row r="512" spans="1:17" ht="15" customHeight="1">
      <c r="A512" s="36" t="s">
        <v>400</v>
      </c>
      <c r="B512" s="28">
        <v>26</v>
      </c>
      <c r="C512" s="28" t="s">
        <v>568</v>
      </c>
      <c r="D512" s="28" t="s">
        <v>569</v>
      </c>
      <c r="E512" s="28">
        <f>+IFERROR(VLOOKUP(A512,TB31032020!$A$11:$C$415,2,0),0)</f>
        <v>14674</v>
      </c>
      <c r="F512" s="28">
        <v>0</v>
      </c>
      <c r="G512" s="28">
        <f t="shared" si="66"/>
        <v>14674</v>
      </c>
      <c r="H512" s="28">
        <f>+IFERROR(VLOOKUP(A512,TB31032020!$A$11:$C$415,3,0),0)</f>
        <v>0</v>
      </c>
      <c r="I512" s="28">
        <v>0</v>
      </c>
      <c r="J512" s="28">
        <f t="shared" si="67"/>
        <v>0</v>
      </c>
      <c r="K512" s="28">
        <f>+IFERROR(VLOOKUP(A512,TB310320119!$A$11:$C$422,2,0),0)</f>
        <v>0</v>
      </c>
      <c r="L512" s="28">
        <v>0</v>
      </c>
      <c r="M512" s="28">
        <f t="shared" si="68"/>
        <v>0</v>
      </c>
      <c r="N512" s="28">
        <f>+IFERROR(VLOOKUP(A512,TB310320119!$A$11:$C$421,3,0),0)</f>
        <v>0</v>
      </c>
      <c r="O512" s="28">
        <v>0</v>
      </c>
      <c r="P512" s="28">
        <f t="shared" si="73"/>
        <v>0</v>
      </c>
      <c r="Q512" s="20">
        <f t="shared" si="69"/>
        <v>29348</v>
      </c>
    </row>
    <row r="513" spans="1:17" ht="15" customHeight="1">
      <c r="A513" s="38" t="s">
        <v>532</v>
      </c>
      <c r="B513" s="28">
        <v>12</v>
      </c>
      <c r="C513" s="28" t="s">
        <v>566</v>
      </c>
      <c r="D513" s="47" t="s">
        <v>616</v>
      </c>
      <c r="E513" s="28">
        <f>+IFERROR(VLOOKUP(A513,TB31032020!$A$11:$C$415,2,0),0)</f>
        <v>0</v>
      </c>
      <c r="F513" s="28">
        <v>0</v>
      </c>
      <c r="G513" s="28">
        <f t="shared" si="66"/>
        <v>0</v>
      </c>
      <c r="H513" s="28">
        <f>+IFERROR(VLOOKUP(A513,TB31032020!$A$11:$C$415,3,0),0)</f>
        <v>0</v>
      </c>
      <c r="I513" s="28">
        <v>0</v>
      </c>
      <c r="J513" s="28">
        <f t="shared" si="67"/>
        <v>0</v>
      </c>
      <c r="K513" s="28">
        <f>+IFERROR(VLOOKUP(A513,TB310320119!$A$11:$C$422,2,0),0)</f>
        <v>13978.36</v>
      </c>
      <c r="L513" s="28">
        <v>0</v>
      </c>
      <c r="M513" s="28">
        <f t="shared" si="68"/>
        <v>13978.36</v>
      </c>
      <c r="N513" s="28">
        <f>+IFERROR(VLOOKUP(A513,TB310320119!$A$11:$C$421,3,0),0)</f>
        <v>0</v>
      </c>
      <c r="O513" s="28">
        <v>0</v>
      </c>
      <c r="P513" s="28">
        <f t="shared" si="73"/>
        <v>0</v>
      </c>
      <c r="Q513" s="20">
        <f t="shared" si="69"/>
        <v>27956.720000000001</v>
      </c>
    </row>
    <row r="514" spans="1:17" ht="15" customHeight="1">
      <c r="A514" s="45" t="s">
        <v>533</v>
      </c>
      <c r="B514" s="28">
        <v>12</v>
      </c>
      <c r="C514" s="28" t="s">
        <v>566</v>
      </c>
      <c r="D514" s="47" t="s">
        <v>616</v>
      </c>
      <c r="E514" s="28">
        <f>+IFERROR(VLOOKUP(A514,TB31032020!$A$11:$C$415,2,0),0)</f>
        <v>0</v>
      </c>
      <c r="F514" s="28">
        <v>0</v>
      </c>
      <c r="G514" s="28">
        <f t="shared" si="66"/>
        <v>0</v>
      </c>
      <c r="H514" s="28">
        <f>+IFERROR(VLOOKUP(A514,TB31032020!$A$11:$C$415,3,0),0)</f>
        <v>0</v>
      </c>
      <c r="I514" s="28">
        <v>0</v>
      </c>
      <c r="J514" s="28">
        <f t="shared" si="67"/>
        <v>0</v>
      </c>
      <c r="K514" s="28">
        <f>+IFERROR(VLOOKUP(A514,TB310320119!$A$11:$C$422,2,0),0)</f>
        <v>10451</v>
      </c>
      <c r="L514" s="28">
        <v>0</v>
      </c>
      <c r="M514" s="28">
        <f t="shared" si="68"/>
        <v>10451</v>
      </c>
      <c r="N514" s="28">
        <f>+IFERROR(VLOOKUP(A514,TB310320119!$A$11:$C$421,3,0),0)</f>
        <v>0</v>
      </c>
      <c r="O514" s="28">
        <v>0</v>
      </c>
      <c r="P514" s="28">
        <f t="shared" si="73"/>
        <v>0</v>
      </c>
      <c r="Q514" s="20">
        <f t="shared" si="69"/>
        <v>20902</v>
      </c>
    </row>
    <row r="515" spans="1:17" ht="15" customHeight="1">
      <c r="A515" s="33" t="s">
        <v>534</v>
      </c>
      <c r="B515" s="28">
        <v>12</v>
      </c>
      <c r="C515" s="28" t="s">
        <v>566</v>
      </c>
      <c r="D515" s="47" t="s">
        <v>616</v>
      </c>
      <c r="E515" s="28">
        <f>+IFERROR(VLOOKUP(A515,TB31032020!$A$11:$C$415,2,0),0)</f>
        <v>0</v>
      </c>
      <c r="F515" s="28">
        <v>0</v>
      </c>
      <c r="G515" s="28">
        <f t="shared" si="66"/>
        <v>0</v>
      </c>
      <c r="H515" s="28">
        <f>+IFERROR(VLOOKUP(A515,TB31032020!$A$11:$C$415,3,0),0)</f>
        <v>0</v>
      </c>
      <c r="I515" s="28">
        <v>0</v>
      </c>
      <c r="J515" s="28">
        <f t="shared" si="67"/>
        <v>0</v>
      </c>
      <c r="K515" s="28">
        <f>+IFERROR(VLOOKUP(A515,TB310320119!$A$11:$C$422,2,0),0)</f>
        <v>439878</v>
      </c>
      <c r="L515" s="28">
        <v>0</v>
      </c>
      <c r="M515" s="28">
        <f t="shared" si="68"/>
        <v>439878</v>
      </c>
      <c r="N515" s="28">
        <f>+IFERROR(VLOOKUP(A515,TB310320119!$A$11:$C$421,3,0),0)</f>
        <v>0</v>
      </c>
      <c r="O515" s="28">
        <v>0</v>
      </c>
      <c r="P515" s="28">
        <f t="shared" si="73"/>
        <v>0</v>
      </c>
      <c r="Q515" s="20">
        <f t="shared" si="69"/>
        <v>879756</v>
      </c>
    </row>
    <row r="516" spans="1:17" ht="15" customHeight="1">
      <c r="A516" s="34" t="s">
        <v>535</v>
      </c>
      <c r="B516" s="28">
        <v>15</v>
      </c>
      <c r="C516" s="28" t="s">
        <v>563</v>
      </c>
      <c r="D516" s="28" t="s">
        <v>564</v>
      </c>
      <c r="E516" s="28">
        <f>+IFERROR(VLOOKUP(A516,TB31032020!$A$11:$C$415,2,0),0)</f>
        <v>0</v>
      </c>
      <c r="F516" s="28">
        <v>0</v>
      </c>
      <c r="G516" s="28">
        <f t="shared" si="66"/>
        <v>0</v>
      </c>
      <c r="H516" s="28">
        <f>+IFERROR(VLOOKUP(A516,TB31032020!$A$11:$C$415,3,0),0)</f>
        <v>0</v>
      </c>
      <c r="I516" s="28">
        <v>0</v>
      </c>
      <c r="J516" s="28">
        <f t="shared" si="67"/>
        <v>0</v>
      </c>
      <c r="K516" s="28">
        <f>+IFERROR(VLOOKUP(A516,TB310320119!$A$11:$C$422,2,0),0)</f>
        <v>151873</v>
      </c>
      <c r="L516" s="28">
        <v>0</v>
      </c>
      <c r="M516" s="28">
        <f t="shared" si="68"/>
        <v>151873</v>
      </c>
      <c r="N516" s="28">
        <f>+IFERROR(VLOOKUP(A516,TB310320119!$A$11:$C$421,3,0),0)</f>
        <v>0</v>
      </c>
      <c r="O516" s="28">
        <v>0</v>
      </c>
      <c r="P516" s="28">
        <f t="shared" si="73"/>
        <v>0</v>
      </c>
      <c r="Q516" s="20">
        <f t="shared" si="69"/>
        <v>303746</v>
      </c>
    </row>
    <row r="517" spans="1:17" ht="15" customHeight="1">
      <c r="A517" s="33" t="s">
        <v>401</v>
      </c>
      <c r="B517" s="28">
        <v>10</v>
      </c>
      <c r="C517" s="28" t="s">
        <v>592</v>
      </c>
      <c r="D517" s="28" t="s">
        <v>593</v>
      </c>
      <c r="E517" s="28">
        <f>+IFERROR(VLOOKUP(A517,TB31032020!$A$11:$C$415,2,0),0)</f>
        <v>2991111</v>
      </c>
      <c r="F517" s="28">
        <v>0</v>
      </c>
      <c r="G517" s="28">
        <f t="shared" si="66"/>
        <v>2991111</v>
      </c>
      <c r="H517" s="28">
        <f>+IFERROR(VLOOKUP(A517,TB31032020!$A$11:$C$415,3,0),0)</f>
        <v>0</v>
      </c>
      <c r="I517" s="28">
        <v>0</v>
      </c>
      <c r="J517" s="28">
        <f t="shared" si="67"/>
        <v>0</v>
      </c>
      <c r="K517" s="28">
        <f>+IFERROR(VLOOKUP(A517,TB310320119!$A$11:$C$422,2,0),0)</f>
        <v>1961724</v>
      </c>
      <c r="L517" s="28">
        <v>0</v>
      </c>
      <c r="M517" s="28">
        <f t="shared" si="68"/>
        <v>1961724</v>
      </c>
      <c r="N517" s="28">
        <f>+IFERROR(VLOOKUP(A517,TB310320119!$A$11:$C$421,3,0),0)</f>
        <v>0</v>
      </c>
      <c r="O517" s="28">
        <v>0</v>
      </c>
      <c r="P517" s="28">
        <f t="shared" si="73"/>
        <v>0</v>
      </c>
      <c r="Q517" s="20">
        <f t="shared" si="69"/>
        <v>9905670</v>
      </c>
    </row>
    <row r="518" spans="1:17" ht="15" customHeight="1">
      <c r="A518" s="33" t="s">
        <v>742</v>
      </c>
      <c r="B518" s="28">
        <v>26</v>
      </c>
      <c r="C518" s="28" t="s">
        <v>568</v>
      </c>
      <c r="D518" s="28" t="s">
        <v>743</v>
      </c>
      <c r="E518" s="28">
        <f>+IFERROR(VLOOKUP(A518,TB31032020!$A$11:$C$415,2,0),0)</f>
        <v>332580</v>
      </c>
      <c r="F518" s="28">
        <v>0</v>
      </c>
      <c r="G518" s="28">
        <f t="shared" si="66"/>
        <v>332580</v>
      </c>
      <c r="H518" s="28">
        <f>+IFERROR(VLOOKUP(A518,TB31032020!$A$11:$C$415,3,0),0)</f>
        <v>0</v>
      </c>
      <c r="I518" s="28">
        <v>0</v>
      </c>
      <c r="J518" s="28">
        <f t="shared" si="67"/>
        <v>0</v>
      </c>
      <c r="K518" s="28">
        <f>+IFERROR(VLOOKUP(A518,TB310320119!$A$11:$C$422,2,0),0)</f>
        <v>369756</v>
      </c>
      <c r="L518" s="28">
        <v>0</v>
      </c>
      <c r="M518" s="28">
        <f t="shared" si="68"/>
        <v>369756</v>
      </c>
      <c r="N518" s="28">
        <f>+IFERROR(VLOOKUP(A518,TB310320119!$A$11:$C$421,3,0),0)</f>
        <v>0</v>
      </c>
      <c r="O518" s="28">
        <v>0</v>
      </c>
      <c r="P518" s="28">
        <f t="shared" si="73"/>
        <v>0</v>
      </c>
      <c r="Q518" s="20">
        <f t="shared" si="69"/>
        <v>1404672</v>
      </c>
    </row>
    <row r="519" spans="1:17" ht="15" customHeight="1">
      <c r="A519" s="33" t="s">
        <v>403</v>
      </c>
      <c r="B519" s="28">
        <v>26</v>
      </c>
      <c r="C519" s="28" t="s">
        <v>568</v>
      </c>
      <c r="D519" s="28" t="s">
        <v>743</v>
      </c>
      <c r="E519" s="28">
        <f>+IFERROR(VLOOKUP(A519,TB31032020!$A$11:$C$415,2,0),0)</f>
        <v>254656</v>
      </c>
      <c r="F519" s="28">
        <v>0</v>
      </c>
      <c r="G519" s="28">
        <f t="shared" si="66"/>
        <v>254656</v>
      </c>
      <c r="H519" s="28">
        <f>+IFERROR(VLOOKUP(A519,TB31032020!$A$11:$C$415,3,0),0)</f>
        <v>0</v>
      </c>
      <c r="I519" s="28">
        <v>0</v>
      </c>
      <c r="J519" s="28">
        <f t="shared" si="67"/>
        <v>0</v>
      </c>
      <c r="K519" s="28">
        <f>+IFERROR(VLOOKUP(A519,TB310320119!$A$11:$C$422,2,0),0)</f>
        <v>226251.5</v>
      </c>
      <c r="L519" s="28">
        <v>0</v>
      </c>
      <c r="M519" s="28">
        <f t="shared" si="68"/>
        <v>226251.5</v>
      </c>
      <c r="N519" s="28">
        <f>+IFERROR(VLOOKUP(A519,TB310320119!$A$11:$C$421,3,0),0)</f>
        <v>0</v>
      </c>
      <c r="O519" s="28">
        <v>0</v>
      </c>
      <c r="P519" s="28">
        <f t="shared" si="73"/>
        <v>0</v>
      </c>
      <c r="Q519" s="20">
        <f t="shared" si="69"/>
        <v>961815</v>
      </c>
    </row>
    <row r="520" spans="1:17" ht="15" customHeight="1">
      <c r="A520" s="30" t="s">
        <v>404</v>
      </c>
      <c r="B520" s="28">
        <v>7</v>
      </c>
      <c r="C520" s="28" t="s">
        <v>561</v>
      </c>
      <c r="D520" s="28" t="s">
        <v>561</v>
      </c>
      <c r="E520" s="28">
        <f>+IFERROR(VLOOKUP(A520,TB31032020!$A$11:$C$415,2,0),0)</f>
        <v>0</v>
      </c>
      <c r="F520" s="28">
        <v>0</v>
      </c>
      <c r="G520" s="28">
        <f t="shared" ref="G520:G541" si="79">+E520+F520</f>
        <v>0</v>
      </c>
      <c r="H520" s="28">
        <f>+IFERROR(VLOOKUP(A520,TB31032020!$A$11:$C$415,3,0),0)</f>
        <v>8130</v>
      </c>
      <c r="I520" s="28">
        <v>0</v>
      </c>
      <c r="J520" s="28">
        <f t="shared" ref="J520:J541" si="80">+H520+I520</f>
        <v>8130</v>
      </c>
      <c r="K520" s="28">
        <f>+IFERROR(VLOOKUP(A520,TB310320119!$A$11:$C$422,2,0),0)</f>
        <v>0</v>
      </c>
      <c r="L520" s="28">
        <v>0</v>
      </c>
      <c r="M520" s="28">
        <f t="shared" si="68"/>
        <v>0</v>
      </c>
      <c r="N520" s="28">
        <f>+IFERROR(VLOOKUP(A520,TB310320119!$A$11:$C$421,3,0),0)</f>
        <v>0</v>
      </c>
      <c r="O520" s="28">
        <v>0</v>
      </c>
      <c r="P520" s="28">
        <f t="shared" si="73"/>
        <v>0</v>
      </c>
      <c r="Q520" s="20">
        <f t="shared" si="69"/>
        <v>16260</v>
      </c>
    </row>
    <row r="521" spans="1:17" ht="15" customHeight="1">
      <c r="A521" s="33" t="s">
        <v>405</v>
      </c>
      <c r="B521" s="28">
        <v>7</v>
      </c>
      <c r="C521" s="28" t="s">
        <v>561</v>
      </c>
      <c r="D521" s="28" t="s">
        <v>561</v>
      </c>
      <c r="E521" s="28">
        <f>+IFERROR(VLOOKUP(A521,TB31032020!$A$11:$C$415,2,0),0)</f>
        <v>0</v>
      </c>
      <c r="F521" s="28">
        <v>0</v>
      </c>
      <c r="G521" s="28">
        <f t="shared" si="79"/>
        <v>0</v>
      </c>
      <c r="H521" s="28">
        <f>+IFERROR(VLOOKUP(A521,TB31032020!$A$11:$C$415,3,0),0)</f>
        <v>4434</v>
      </c>
      <c r="I521" s="28">
        <v>0</v>
      </c>
      <c r="J521" s="28">
        <f t="shared" si="80"/>
        <v>4434</v>
      </c>
      <c r="K521" s="28">
        <f>+IFERROR(VLOOKUP(A521,TB310320119!$A$11:$C$422,2,0),0)</f>
        <v>0</v>
      </c>
      <c r="L521" s="28">
        <v>0</v>
      </c>
      <c r="M521" s="28">
        <f t="shared" si="68"/>
        <v>0</v>
      </c>
      <c r="N521" s="28">
        <f>+IFERROR(VLOOKUP(A521,TB310320119!$A$11:$C$421,3,0),0)</f>
        <v>0</v>
      </c>
      <c r="O521" s="28">
        <v>0</v>
      </c>
      <c r="P521" s="28">
        <f t="shared" si="73"/>
        <v>0</v>
      </c>
      <c r="Q521" s="20">
        <f t="shared" si="69"/>
        <v>8868</v>
      </c>
    </row>
    <row r="522" spans="1:17" ht="15" customHeight="1">
      <c r="A522" s="33" t="s">
        <v>406</v>
      </c>
      <c r="B522" s="28">
        <v>7</v>
      </c>
      <c r="C522" s="28" t="s">
        <v>561</v>
      </c>
      <c r="D522" s="28" t="s">
        <v>561</v>
      </c>
      <c r="E522" s="28">
        <f>+IFERROR(VLOOKUP(A522,TB31032020!$A$11:$C$415,2,0),0)</f>
        <v>0</v>
      </c>
      <c r="F522" s="28">
        <v>0</v>
      </c>
      <c r="G522" s="28">
        <f t="shared" si="79"/>
        <v>0</v>
      </c>
      <c r="H522" s="28">
        <f>+IFERROR(VLOOKUP(A522,TB31032020!$A$11:$C$415,3,0),0)</f>
        <v>699844</v>
      </c>
      <c r="I522" s="28">
        <v>0</v>
      </c>
      <c r="J522" s="28">
        <f t="shared" si="80"/>
        <v>699844</v>
      </c>
      <c r="K522" s="28">
        <f>+IFERROR(VLOOKUP(A522,TB310320119!$A$11:$C$422,2,0),0)</f>
        <v>0</v>
      </c>
      <c r="L522" s="28">
        <v>0</v>
      </c>
      <c r="M522" s="28">
        <f t="shared" si="68"/>
        <v>0</v>
      </c>
      <c r="N522" s="28">
        <f>+IFERROR(VLOOKUP(A522,TB310320119!$A$11:$C$421,3,0),0)</f>
        <v>615157</v>
      </c>
      <c r="O522" s="28">
        <v>0</v>
      </c>
      <c r="P522" s="28">
        <f t="shared" si="73"/>
        <v>615157</v>
      </c>
      <c r="Q522" s="20">
        <f t="shared" si="69"/>
        <v>2630002</v>
      </c>
    </row>
    <row r="523" spans="1:17" ht="15" customHeight="1">
      <c r="A523" s="30" t="s">
        <v>407</v>
      </c>
      <c r="B523" s="28">
        <v>7</v>
      </c>
      <c r="C523" s="28" t="s">
        <v>561</v>
      </c>
      <c r="D523" s="28" t="s">
        <v>561</v>
      </c>
      <c r="E523" s="28">
        <f>+IFERROR(VLOOKUP(A523,TB31032020!$A$11:$C$415,2,0),0)</f>
        <v>0</v>
      </c>
      <c r="F523" s="28">
        <v>0</v>
      </c>
      <c r="G523" s="28">
        <f t="shared" si="79"/>
        <v>0</v>
      </c>
      <c r="H523" s="28">
        <f>+IFERROR(VLOOKUP(A523,TB31032020!$A$11:$C$415,3,0),0)</f>
        <v>7780</v>
      </c>
      <c r="I523" s="28">
        <v>0</v>
      </c>
      <c r="J523" s="28">
        <f t="shared" si="80"/>
        <v>7780</v>
      </c>
      <c r="K523" s="28">
        <f>+IFERROR(VLOOKUP(A523,TB310320119!$A$11:$C$422,2,0),0)</f>
        <v>0</v>
      </c>
      <c r="L523" s="28">
        <v>0</v>
      </c>
      <c r="M523" s="28">
        <f t="shared" si="68"/>
        <v>0</v>
      </c>
      <c r="N523" s="28">
        <f>+IFERROR(VLOOKUP(A523,TB310320119!$A$11:$C$421,3,0),0)</f>
        <v>0</v>
      </c>
      <c r="O523" s="28">
        <v>0</v>
      </c>
      <c r="P523" s="28">
        <f t="shared" si="73"/>
        <v>0</v>
      </c>
      <c r="Q523" s="20">
        <f t="shared" si="69"/>
        <v>15560</v>
      </c>
    </row>
    <row r="524" spans="1:17" ht="15" customHeight="1">
      <c r="A524" s="29" t="s">
        <v>536</v>
      </c>
      <c r="B524" s="37">
        <v>7</v>
      </c>
      <c r="C524" s="28" t="s">
        <v>561</v>
      </c>
      <c r="D524" s="28" t="s">
        <v>561</v>
      </c>
      <c r="E524" s="28">
        <f>+IFERROR(VLOOKUP(A524,TB31032020!$A$11:$C$415,2,0),0)</f>
        <v>0</v>
      </c>
      <c r="F524" s="28">
        <v>0</v>
      </c>
      <c r="G524" s="28">
        <f t="shared" si="79"/>
        <v>0</v>
      </c>
      <c r="H524" s="28">
        <f>+IFERROR(VLOOKUP(A524,TB31032020!$A$11:$C$415,3,0),0)</f>
        <v>0</v>
      </c>
      <c r="I524" s="28">
        <v>0</v>
      </c>
      <c r="J524" s="28">
        <f t="shared" si="80"/>
        <v>0</v>
      </c>
      <c r="K524" s="28">
        <f>+IFERROR(VLOOKUP(A524,TB310320119!$A$11:$C$422,2,0),0)</f>
        <v>0</v>
      </c>
      <c r="L524" s="28">
        <v>0</v>
      </c>
      <c r="M524" s="28">
        <f t="shared" si="68"/>
        <v>0</v>
      </c>
      <c r="N524" s="28">
        <f>+IFERROR(VLOOKUP(A524,TB310320119!$A$11:$C$421,3,0),0)</f>
        <v>1343823</v>
      </c>
      <c r="O524" s="28">
        <v>0</v>
      </c>
      <c r="P524" s="28">
        <f t="shared" si="73"/>
        <v>1343823</v>
      </c>
      <c r="Q524" s="20">
        <f t="shared" si="69"/>
        <v>2687646</v>
      </c>
    </row>
    <row r="525" spans="1:17" s="15" customFormat="1" ht="15" customHeight="1">
      <c r="A525" s="33" t="s">
        <v>537</v>
      </c>
      <c r="B525" s="28">
        <v>7</v>
      </c>
      <c r="C525" s="28" t="s">
        <v>561</v>
      </c>
      <c r="D525" s="28" t="s">
        <v>561</v>
      </c>
      <c r="E525" s="28">
        <f>+IFERROR(VLOOKUP(A525,TB31032020!$A$11:$C$415,2,0),0)</f>
        <v>0</v>
      </c>
      <c r="F525" s="28">
        <v>0</v>
      </c>
      <c r="G525" s="28">
        <f t="shared" si="79"/>
        <v>0</v>
      </c>
      <c r="H525" s="28">
        <f>+IFERROR(VLOOKUP(A525,TB31032020!$A$11:$C$415,3,0),0)</f>
        <v>0</v>
      </c>
      <c r="I525" s="28">
        <v>0</v>
      </c>
      <c r="J525" s="28">
        <f t="shared" si="80"/>
        <v>0</v>
      </c>
      <c r="K525" s="28">
        <f>+IFERROR(VLOOKUP(A525,TB310320119!$A$11:$C$422,2,0),0)</f>
        <v>0</v>
      </c>
      <c r="L525" s="28">
        <v>0</v>
      </c>
      <c r="M525" s="28">
        <f t="shared" si="68"/>
        <v>0</v>
      </c>
      <c r="N525" s="28">
        <f>+IFERROR(VLOOKUP(A525,TB310320119!$A$11:$C$421,3,0),0)</f>
        <v>621226</v>
      </c>
      <c r="O525" s="28">
        <v>0</v>
      </c>
      <c r="P525" s="28">
        <f t="shared" si="73"/>
        <v>621226</v>
      </c>
      <c r="Q525" s="20">
        <f t="shared" si="69"/>
        <v>1242452</v>
      </c>
    </row>
    <row r="526" spans="1:17" ht="15" customHeight="1">
      <c r="A526" s="45" t="s">
        <v>538</v>
      </c>
      <c r="B526" s="28">
        <v>15</v>
      </c>
      <c r="C526" s="28" t="s">
        <v>563</v>
      </c>
      <c r="D526" s="28" t="s">
        <v>564</v>
      </c>
      <c r="E526" s="28">
        <f>+IFERROR(VLOOKUP(A526,TB31032020!$A$11:$C$415,2,0),0)</f>
        <v>0</v>
      </c>
      <c r="F526" s="28">
        <v>0</v>
      </c>
      <c r="G526" s="28">
        <f t="shared" si="79"/>
        <v>0</v>
      </c>
      <c r="H526" s="28">
        <f>+IFERROR(VLOOKUP(A526,TB31032020!$A$11:$C$415,3,0),0)</f>
        <v>0</v>
      </c>
      <c r="I526" s="28">
        <v>0</v>
      </c>
      <c r="J526" s="28">
        <f t="shared" si="80"/>
        <v>0</v>
      </c>
      <c r="K526" s="28">
        <f>+IFERROR(VLOOKUP(A526,TB310320119!$A$11:$C$422,2,0),0)</f>
        <v>204778</v>
      </c>
      <c r="L526" s="28">
        <v>0</v>
      </c>
      <c r="M526" s="28">
        <f t="shared" si="68"/>
        <v>204778</v>
      </c>
      <c r="N526" s="28">
        <f>+IFERROR(VLOOKUP(A526,TB310320119!$A$11:$C$421,3,0),0)</f>
        <v>0</v>
      </c>
      <c r="O526" s="28">
        <v>0</v>
      </c>
      <c r="P526" s="28">
        <f t="shared" si="73"/>
        <v>0</v>
      </c>
      <c r="Q526" s="20">
        <f t="shared" si="69"/>
        <v>409556</v>
      </c>
    </row>
    <row r="527" spans="1:17" ht="15" customHeight="1">
      <c r="A527" s="40" t="s">
        <v>744</v>
      </c>
      <c r="B527" s="28">
        <v>7</v>
      </c>
      <c r="C527" s="28" t="s">
        <v>561</v>
      </c>
      <c r="D527" s="28" t="s">
        <v>561</v>
      </c>
      <c r="E527" s="28">
        <f>+IFERROR(VLOOKUP(A527,TB31032020!$A$11:$C$415,2,0),0)</f>
        <v>0</v>
      </c>
      <c r="F527" s="28">
        <v>0</v>
      </c>
      <c r="G527" s="28">
        <f t="shared" si="79"/>
        <v>0</v>
      </c>
      <c r="H527" s="28">
        <f>+IFERROR(VLOOKUP(A527,TB31032020!$A$11:$C$415,3,0),0)</f>
        <v>226800</v>
      </c>
      <c r="I527" s="28">
        <v>0</v>
      </c>
      <c r="J527" s="28">
        <f t="shared" si="80"/>
        <v>226800</v>
      </c>
      <c r="K527" s="28">
        <f>+IFERROR(VLOOKUP(A527,TB310320119!$A$11:$C$422,2,0),0)</f>
        <v>0</v>
      </c>
      <c r="L527" s="28">
        <v>0</v>
      </c>
      <c r="M527" s="28">
        <f t="shared" si="68"/>
        <v>0</v>
      </c>
      <c r="N527" s="28">
        <f>+IFERROR(VLOOKUP(A527,TB310320119!$A$11:$C$421,3,0),0)</f>
        <v>226800</v>
      </c>
      <c r="O527" s="28">
        <v>0</v>
      </c>
      <c r="P527" s="28">
        <f t="shared" si="73"/>
        <v>226800</v>
      </c>
      <c r="Q527" s="20">
        <f t="shared" si="69"/>
        <v>907200</v>
      </c>
    </row>
    <row r="528" spans="1:17" ht="15" customHeight="1">
      <c r="A528" s="34" t="s">
        <v>539</v>
      </c>
      <c r="B528" s="28">
        <v>26</v>
      </c>
      <c r="C528" s="28" t="s">
        <v>568</v>
      </c>
      <c r="D528" s="28" t="s">
        <v>591</v>
      </c>
      <c r="E528" s="28">
        <f>+IFERROR(VLOOKUP(A528,TB31032020!$A$11:$C$415,2,0),0)</f>
        <v>0</v>
      </c>
      <c r="F528" s="28">
        <v>0</v>
      </c>
      <c r="G528" s="28">
        <f t="shared" si="79"/>
        <v>0</v>
      </c>
      <c r="H528" s="28">
        <f>+IFERROR(VLOOKUP(A528,TB31032020!$A$11:$C$415,3,0),0)</f>
        <v>0</v>
      </c>
      <c r="I528" s="28">
        <v>0</v>
      </c>
      <c r="J528" s="28">
        <f t="shared" si="80"/>
        <v>0</v>
      </c>
      <c r="K528" s="28">
        <f>+IFERROR(VLOOKUP(A528,TB310320119!$A$11:$C$422,2,0),0)</f>
        <v>136710</v>
      </c>
      <c r="L528" s="28">
        <v>0</v>
      </c>
      <c r="M528" s="28">
        <f t="shared" si="68"/>
        <v>136710</v>
      </c>
      <c r="N528" s="28">
        <f>+IFERROR(VLOOKUP(A528,TB310320119!$A$11:$C$421,3,0),0)</f>
        <v>0</v>
      </c>
      <c r="O528" s="28">
        <v>0</v>
      </c>
      <c r="P528" s="28">
        <f t="shared" si="73"/>
        <v>0</v>
      </c>
      <c r="Q528" s="20">
        <f t="shared" si="69"/>
        <v>273420</v>
      </c>
    </row>
    <row r="529" spans="1:17" ht="15" customHeight="1">
      <c r="A529" s="60" t="s">
        <v>409</v>
      </c>
      <c r="B529" s="28">
        <v>26</v>
      </c>
      <c r="C529" s="28" t="s">
        <v>568</v>
      </c>
      <c r="D529" s="28" t="s">
        <v>591</v>
      </c>
      <c r="E529" s="28">
        <f>+IFERROR(VLOOKUP(A529,TB31032020!$A$11:$C$415,2,0),0)</f>
        <v>199906.5</v>
      </c>
      <c r="F529" s="28">
        <v>0</v>
      </c>
      <c r="G529" s="28">
        <f t="shared" si="79"/>
        <v>199906.5</v>
      </c>
      <c r="H529" s="28">
        <f>+IFERROR(VLOOKUP(A529,TB31032020!$A$11:$C$415,3,0),0)</f>
        <v>0</v>
      </c>
      <c r="I529" s="28">
        <v>0</v>
      </c>
      <c r="J529" s="28">
        <f t="shared" si="80"/>
        <v>0</v>
      </c>
      <c r="K529" s="28">
        <f>+IFERROR(VLOOKUP(A529,TB310320119!$A$11:$C$422,2,0),0)</f>
        <v>0</v>
      </c>
      <c r="L529" s="28">
        <v>0</v>
      </c>
      <c r="M529" s="28">
        <f t="shared" si="68"/>
        <v>0</v>
      </c>
      <c r="N529" s="28">
        <f>+IFERROR(VLOOKUP(A529,TB310320119!$A$11:$C$421,3,0),0)</f>
        <v>0</v>
      </c>
      <c r="O529" s="28">
        <v>0</v>
      </c>
      <c r="P529" s="28">
        <f t="shared" si="73"/>
        <v>0</v>
      </c>
      <c r="Q529" s="20">
        <f t="shared" si="69"/>
        <v>399813</v>
      </c>
    </row>
    <row r="530" spans="1:17" ht="15" customHeight="1">
      <c r="A530" s="33" t="s">
        <v>410</v>
      </c>
      <c r="B530" s="28">
        <v>26</v>
      </c>
      <c r="C530" s="28" t="s">
        <v>568</v>
      </c>
      <c r="D530" s="28" t="s">
        <v>745</v>
      </c>
      <c r="E530" s="28">
        <f>+IFERROR(VLOOKUP(A530,TB31032020!$A$11:$C$415,2,0),0)</f>
        <v>6659960</v>
      </c>
      <c r="F530" s="28">
        <v>0</v>
      </c>
      <c r="G530" s="28">
        <f t="shared" si="79"/>
        <v>6659960</v>
      </c>
      <c r="H530" s="28">
        <f>+IFERROR(VLOOKUP(A530,TB31032020!$A$11:$C$415,3,0),0)</f>
        <v>0</v>
      </c>
      <c r="I530" s="28">
        <v>0</v>
      </c>
      <c r="J530" s="28">
        <f t="shared" si="80"/>
        <v>0</v>
      </c>
      <c r="K530" s="28">
        <f>+IFERROR(VLOOKUP(A530,TB310320119!$A$11:$C$422,2,0),0)</f>
        <v>6522638</v>
      </c>
      <c r="L530" s="28">
        <v>0</v>
      </c>
      <c r="M530" s="28">
        <f t="shared" si="68"/>
        <v>6522638</v>
      </c>
      <c r="N530" s="28">
        <f>+IFERROR(VLOOKUP(A530,TB310320119!$A$11:$C$421,3,0),0)</f>
        <v>0</v>
      </c>
      <c r="O530" s="28">
        <v>0</v>
      </c>
      <c r="P530" s="28">
        <f t="shared" si="73"/>
        <v>0</v>
      </c>
      <c r="Q530" s="20">
        <f t="shared" si="69"/>
        <v>26365196</v>
      </c>
    </row>
    <row r="531" spans="1:17" ht="15" customHeight="1">
      <c r="A531" s="33" t="s">
        <v>411</v>
      </c>
      <c r="B531" s="28">
        <v>22</v>
      </c>
      <c r="C531" s="28" t="s">
        <v>581</v>
      </c>
      <c r="D531" s="28" t="s">
        <v>582</v>
      </c>
      <c r="E531" s="28">
        <f>+IFERROR(VLOOKUP(A531,TB31032020!$A$11:$C$415,2,0),0)</f>
        <v>237660256.5</v>
      </c>
      <c r="F531" s="28">
        <v>0</v>
      </c>
      <c r="G531" s="28">
        <f t="shared" si="79"/>
        <v>237660256.5</v>
      </c>
      <c r="H531" s="28">
        <f>+IFERROR(VLOOKUP(A531,TB31032020!$A$11:$C$415,3,0),0)</f>
        <v>0</v>
      </c>
      <c r="I531" s="28">
        <v>0</v>
      </c>
      <c r="J531" s="28">
        <f t="shared" si="80"/>
        <v>0</v>
      </c>
      <c r="K531" s="28">
        <f>+IFERROR(VLOOKUP(A531,TB310320119!$A$11:$C$422,2,0),0)</f>
        <v>274123635.5</v>
      </c>
      <c r="L531" s="28">
        <v>0</v>
      </c>
      <c r="M531" s="28">
        <f t="shared" si="68"/>
        <v>274123635.5</v>
      </c>
      <c r="N531" s="28">
        <f>+IFERROR(VLOOKUP(A531,TB310320119!$A$11:$C$421,3,0),0)</f>
        <v>0</v>
      </c>
      <c r="O531" s="28">
        <v>0</v>
      </c>
      <c r="P531" s="28">
        <f t="shared" si="73"/>
        <v>0</v>
      </c>
      <c r="Q531" s="20">
        <f t="shared" si="69"/>
        <v>1023567784</v>
      </c>
    </row>
    <row r="532" spans="1:17" ht="15" customHeight="1">
      <c r="A532" s="33" t="s">
        <v>412</v>
      </c>
      <c r="B532" s="28">
        <v>17</v>
      </c>
      <c r="C532" s="28" t="s">
        <v>572</v>
      </c>
      <c r="D532" s="28" t="s">
        <v>573</v>
      </c>
      <c r="E532" s="28">
        <f>+IFERROR(VLOOKUP(A532,TB31032020!$A$11:$C$415,2,0),0)</f>
        <v>0</v>
      </c>
      <c r="F532" s="28">
        <v>0</v>
      </c>
      <c r="G532" s="28">
        <f t="shared" si="79"/>
        <v>0</v>
      </c>
      <c r="H532" s="28">
        <f>+IFERROR(VLOOKUP(A532,TB31032020!$A$11:$C$415,3,0),0)</f>
        <v>841449.98</v>
      </c>
      <c r="I532" s="28">
        <v>0</v>
      </c>
      <c r="J532" s="28">
        <f t="shared" si="80"/>
        <v>841449.98</v>
      </c>
      <c r="K532" s="28">
        <f>+IFERROR(VLOOKUP(A532,TB310320119!$A$11:$C$422,2,0),0)</f>
        <v>0</v>
      </c>
      <c r="L532" s="28">
        <v>0</v>
      </c>
      <c r="M532" s="28">
        <f t="shared" si="68"/>
        <v>0</v>
      </c>
      <c r="N532" s="28">
        <f>+IFERROR(VLOOKUP(A532,TB310320119!$A$11:$C$421,3,0),0)</f>
        <v>759998.6</v>
      </c>
      <c r="O532" s="28">
        <v>0</v>
      </c>
      <c r="P532" s="28">
        <f t="shared" si="73"/>
        <v>759998.6</v>
      </c>
      <c r="Q532" s="20">
        <f t="shared" si="69"/>
        <v>3202897.16</v>
      </c>
    </row>
    <row r="533" spans="1:17" ht="15" customHeight="1">
      <c r="A533" s="33" t="s">
        <v>413</v>
      </c>
      <c r="B533" s="28">
        <v>10</v>
      </c>
      <c r="C533" s="28" t="s">
        <v>592</v>
      </c>
      <c r="D533" s="28" t="s">
        <v>746</v>
      </c>
      <c r="E533" s="28">
        <f>+IFERROR(VLOOKUP(A533,TB31032020!$A$11:$C$415,2,0),0)</f>
        <v>172560</v>
      </c>
      <c r="F533" s="28">
        <v>0</v>
      </c>
      <c r="G533" s="28">
        <f t="shared" si="79"/>
        <v>172560</v>
      </c>
      <c r="H533" s="28">
        <f>+IFERROR(VLOOKUP(A533,TB31032020!$A$11:$C$415,3,0),0)</f>
        <v>0</v>
      </c>
      <c r="I533" s="28">
        <v>0</v>
      </c>
      <c r="J533" s="28">
        <f t="shared" si="80"/>
        <v>0</v>
      </c>
      <c r="K533" s="28">
        <f>+IFERROR(VLOOKUP(A533,TB310320119!$A$11:$C$422,2,0),0)</f>
        <v>0</v>
      </c>
      <c r="L533" s="28">
        <v>0</v>
      </c>
      <c r="M533" s="28">
        <f t="shared" ref="M533:M541" si="81">K533+L533</f>
        <v>0</v>
      </c>
      <c r="N533" s="28">
        <f>+IFERROR(VLOOKUP(A533,TB310320119!$A$11:$C$421,3,0),0)</f>
        <v>0</v>
      </c>
      <c r="O533" s="28">
        <v>0</v>
      </c>
      <c r="P533" s="28">
        <f t="shared" si="73"/>
        <v>0</v>
      </c>
      <c r="Q533" s="20">
        <f t="shared" ref="Q533:Q541" si="82">+SUM(E533:P533)</f>
        <v>345120</v>
      </c>
    </row>
    <row r="534" spans="1:17" ht="15" customHeight="1">
      <c r="A534" s="33" t="s">
        <v>414</v>
      </c>
      <c r="B534" s="56">
        <v>10</v>
      </c>
      <c r="C534" s="28" t="s">
        <v>592</v>
      </c>
      <c r="D534" s="28" t="s">
        <v>746</v>
      </c>
      <c r="E534" s="28">
        <f>+IFERROR(VLOOKUP(A534,TB31032020!$A$11:$C$415,2,0),0)</f>
        <v>229919.2</v>
      </c>
      <c r="F534" s="28">
        <v>0</v>
      </c>
      <c r="G534" s="28">
        <f t="shared" si="79"/>
        <v>229919.2</v>
      </c>
      <c r="H534" s="28">
        <f>+IFERROR(VLOOKUP(A534,TB31032020!$A$11:$C$415,3,0),0)</f>
        <v>0</v>
      </c>
      <c r="I534" s="28">
        <v>0</v>
      </c>
      <c r="J534" s="28">
        <f t="shared" si="80"/>
        <v>0</v>
      </c>
      <c r="K534" s="28">
        <f>+IFERROR(VLOOKUP(A534,TB310320119!$A$11:$C$422,2,0),0)</f>
        <v>484789</v>
      </c>
      <c r="L534" s="28">
        <v>0</v>
      </c>
      <c r="M534" s="28">
        <f t="shared" si="81"/>
        <v>484789</v>
      </c>
      <c r="N534" s="28">
        <f>+IFERROR(VLOOKUP(A534,TB310320119!$A$11:$C$421,3,0),0)</f>
        <v>0</v>
      </c>
      <c r="O534" s="28">
        <v>0</v>
      </c>
      <c r="P534" s="28">
        <f t="shared" si="73"/>
        <v>0</v>
      </c>
      <c r="Q534" s="20">
        <f t="shared" si="82"/>
        <v>1429416.4</v>
      </c>
    </row>
    <row r="535" spans="1:17" ht="15" customHeight="1">
      <c r="A535" s="30" t="s">
        <v>415</v>
      </c>
      <c r="B535" s="28">
        <v>7</v>
      </c>
      <c r="C535" s="28" t="s">
        <v>561</v>
      </c>
      <c r="D535" s="28" t="s">
        <v>562</v>
      </c>
      <c r="E535" s="28">
        <f>+IFERROR(VLOOKUP(A535,TB31032020!$A$11:$C$415,2,0),0)</f>
        <v>0</v>
      </c>
      <c r="F535" s="28">
        <v>0</v>
      </c>
      <c r="G535" s="28">
        <f t="shared" si="79"/>
        <v>0</v>
      </c>
      <c r="H535" s="28">
        <f>+IFERROR(VLOOKUP(A535,TB31032020!$A$11:$C$415,3,0),0)</f>
        <v>52406</v>
      </c>
      <c r="I535" s="28">
        <v>0</v>
      </c>
      <c r="J535" s="28">
        <f t="shared" si="80"/>
        <v>52406</v>
      </c>
      <c r="K535" s="28">
        <f>+IFERROR(VLOOKUP(A535,TB310320119!$A$11:$C$422,2,0),0)</f>
        <v>0</v>
      </c>
      <c r="L535" s="28">
        <v>0</v>
      </c>
      <c r="M535" s="28">
        <f t="shared" si="81"/>
        <v>0</v>
      </c>
      <c r="N535" s="28">
        <f>+IFERROR(VLOOKUP(A535,TB310320119!$A$11:$C$421,3,0),0)</f>
        <v>0</v>
      </c>
      <c r="O535" s="28">
        <v>0</v>
      </c>
      <c r="P535" s="28">
        <f t="shared" si="73"/>
        <v>0</v>
      </c>
      <c r="Q535" s="20">
        <f t="shared" si="82"/>
        <v>104812</v>
      </c>
    </row>
    <row r="536" spans="1:17" ht="15" customHeight="1">
      <c r="A536" s="33" t="s">
        <v>747</v>
      </c>
      <c r="B536" s="28">
        <v>26</v>
      </c>
      <c r="C536" s="28" t="s">
        <v>568</v>
      </c>
      <c r="D536" s="28" t="s">
        <v>578</v>
      </c>
      <c r="E536" s="28">
        <f>+IFERROR(VLOOKUP(A536,TB31032020!$A$11:$C$415,2,0),0)</f>
        <v>5716</v>
      </c>
      <c r="F536" s="28">
        <v>0</v>
      </c>
      <c r="G536" s="28">
        <f t="shared" si="79"/>
        <v>5716</v>
      </c>
      <c r="H536" s="28">
        <f>+IFERROR(VLOOKUP(A536,TB31032020!$A$11:$C$415,3,0),0)</f>
        <v>0</v>
      </c>
      <c r="I536" s="28">
        <v>0</v>
      </c>
      <c r="J536" s="28">
        <f t="shared" si="80"/>
        <v>0</v>
      </c>
      <c r="K536" s="28">
        <f>+IFERROR(VLOOKUP(A536,TB310320119!$A$11:$C$422,2,0),0)</f>
        <v>14690</v>
      </c>
      <c r="L536" s="28">
        <v>0</v>
      </c>
      <c r="M536" s="28">
        <f t="shared" si="81"/>
        <v>14690</v>
      </c>
      <c r="N536" s="28">
        <f>+IFERROR(VLOOKUP(A536,TB310320119!$A$11:$C$421,3,0),0)</f>
        <v>0</v>
      </c>
      <c r="O536" s="28">
        <v>0</v>
      </c>
      <c r="P536" s="28">
        <f t="shared" si="73"/>
        <v>0</v>
      </c>
      <c r="Q536" s="20">
        <f t="shared" si="82"/>
        <v>40812</v>
      </c>
    </row>
    <row r="537" spans="1:17" ht="15" customHeight="1">
      <c r="A537" s="33" t="s">
        <v>540</v>
      </c>
      <c r="B537" s="28">
        <v>7</v>
      </c>
      <c r="C537" s="28" t="s">
        <v>561</v>
      </c>
      <c r="D537" s="28" t="s">
        <v>561</v>
      </c>
      <c r="E537" s="28">
        <f>+IFERROR(VLOOKUP(A537,TB31032020!$A$11:$C$415,2,0),0)</f>
        <v>0</v>
      </c>
      <c r="F537" s="28">
        <v>0</v>
      </c>
      <c r="G537" s="28">
        <f t="shared" si="79"/>
        <v>0</v>
      </c>
      <c r="H537" s="28">
        <f>+IFERROR(VLOOKUP(A537,TB31032020!$A$11:$C$415,3,0),0)</f>
        <v>0</v>
      </c>
      <c r="I537" s="28">
        <v>0</v>
      </c>
      <c r="J537" s="28">
        <f t="shared" si="80"/>
        <v>0</v>
      </c>
      <c r="K537" s="28">
        <f>+IFERROR(VLOOKUP(A537,TB310320119!$A$11:$C$422,2,0),0)</f>
        <v>0</v>
      </c>
      <c r="L537" s="28">
        <v>0</v>
      </c>
      <c r="M537" s="28">
        <f t="shared" si="81"/>
        <v>0</v>
      </c>
      <c r="N537" s="28">
        <f>+IFERROR(VLOOKUP(A537,TB310320119!$A$11:$C$421,3,0),0)</f>
        <v>22041</v>
      </c>
      <c r="O537" s="28">
        <v>0</v>
      </c>
      <c r="P537" s="28">
        <f t="shared" si="73"/>
        <v>22041</v>
      </c>
      <c r="Q537" s="20">
        <f t="shared" si="82"/>
        <v>44082</v>
      </c>
    </row>
    <row r="538" spans="1:17" ht="15" customHeight="1">
      <c r="A538" s="33" t="s">
        <v>1969</v>
      </c>
      <c r="B538" s="28">
        <v>7</v>
      </c>
      <c r="C538" s="28" t="s">
        <v>561</v>
      </c>
      <c r="D538" s="28" t="s">
        <v>561</v>
      </c>
      <c r="E538" s="28">
        <f>+IFERROR(VLOOKUP(A538,TB31032020!$A$11:$C$415,2,0),0)</f>
        <v>0</v>
      </c>
      <c r="F538" s="28">
        <v>0</v>
      </c>
      <c r="G538" s="28">
        <f t="shared" ref="G538" si="83">+E538+F538</f>
        <v>0</v>
      </c>
      <c r="H538" s="28">
        <f>+IFERROR(VLOOKUP(A538,TB31032020!$A$11:$C$415,3,0),0)</f>
        <v>142942</v>
      </c>
      <c r="I538" s="28">
        <v>0</v>
      </c>
      <c r="J538" s="28">
        <f t="shared" ref="J538" si="84">+H538+I538</f>
        <v>142942</v>
      </c>
      <c r="K538" s="28">
        <f>+IFERROR(VLOOKUP(A538,TB310320119!$A$11:$C$422,2,0),0)</f>
        <v>0</v>
      </c>
      <c r="L538" s="28">
        <v>0</v>
      </c>
      <c r="M538" s="28">
        <f t="shared" ref="M538" si="85">K538+L538</f>
        <v>0</v>
      </c>
      <c r="N538" s="28">
        <f>+IFERROR(VLOOKUP(A538,TB310320119!$A$11:$C$421,3,0),0)</f>
        <v>0</v>
      </c>
      <c r="O538" s="28">
        <v>0</v>
      </c>
      <c r="P538" s="28">
        <f t="shared" ref="P538" si="86">N538+O538</f>
        <v>0</v>
      </c>
      <c r="Q538" s="20">
        <f t="shared" ref="Q538" si="87">+SUM(E538:P538)</f>
        <v>285884</v>
      </c>
    </row>
    <row r="539" spans="1:17" ht="15" customHeight="1">
      <c r="A539" s="34" t="s">
        <v>417</v>
      </c>
      <c r="B539" s="28">
        <v>15</v>
      </c>
      <c r="C539" s="28" t="s">
        <v>563</v>
      </c>
      <c r="D539" s="28" t="s">
        <v>564</v>
      </c>
      <c r="E539" s="28">
        <f>+IFERROR(VLOOKUP(A539,TB31032020!$A$11:$C$415,2,0),0)</f>
        <v>18060676</v>
      </c>
      <c r="F539" s="28">
        <v>0</v>
      </c>
      <c r="G539" s="28">
        <f t="shared" si="79"/>
        <v>18060676</v>
      </c>
      <c r="H539" s="28">
        <f>+IFERROR(VLOOKUP(A539,TB31032020!$A$11:$C$415,3,0),0)</f>
        <v>0</v>
      </c>
      <c r="I539" s="28">
        <v>0</v>
      </c>
      <c r="J539" s="28">
        <f t="shared" si="80"/>
        <v>0</v>
      </c>
      <c r="K539" s="28">
        <f>+IFERROR(VLOOKUP(A539,TB310320119!$A$11:$C$422,2,0),0)</f>
        <v>19528757</v>
      </c>
      <c r="L539" s="28">
        <v>0</v>
      </c>
      <c r="M539" s="28">
        <f t="shared" si="81"/>
        <v>19528757</v>
      </c>
      <c r="N539" s="28">
        <f>+IFERROR(VLOOKUP(A539,TB310320119!$A$11:$C$421,3,0),0)</f>
        <v>0</v>
      </c>
      <c r="O539" s="28">
        <v>0</v>
      </c>
      <c r="P539" s="28">
        <f t="shared" si="73"/>
        <v>0</v>
      </c>
      <c r="Q539" s="20">
        <f t="shared" si="82"/>
        <v>75178866</v>
      </c>
    </row>
    <row r="540" spans="1:17" ht="15" customHeight="1">
      <c r="A540" s="38" t="s">
        <v>541</v>
      </c>
      <c r="B540" s="28">
        <v>7</v>
      </c>
      <c r="C540" s="28" t="s">
        <v>561</v>
      </c>
      <c r="D540" s="28" t="s">
        <v>562</v>
      </c>
      <c r="E540" s="28">
        <f>+IFERROR(VLOOKUP(A540,TB31032020!$A$11:$C$415,2,0),0)</f>
        <v>0</v>
      </c>
      <c r="F540" s="28">
        <v>0</v>
      </c>
      <c r="G540" s="28">
        <f t="shared" si="79"/>
        <v>0</v>
      </c>
      <c r="H540" s="28">
        <f>+IFERROR(VLOOKUP(A540,TB31032020!$A$11:$C$415,3,0),0)</f>
        <v>0</v>
      </c>
      <c r="I540" s="28">
        <v>0</v>
      </c>
      <c r="J540" s="28">
        <f t="shared" si="80"/>
        <v>0</v>
      </c>
      <c r="K540" s="28">
        <f>+IFERROR(VLOOKUP(A540,TB310320119!$A$11:$C$422,2,0),0)</f>
        <v>0</v>
      </c>
      <c r="L540" s="28">
        <v>0</v>
      </c>
      <c r="M540" s="28">
        <f t="shared" si="81"/>
        <v>0</v>
      </c>
      <c r="N540" s="28">
        <f>+IFERROR(VLOOKUP(A540,TB310320119!$A$11:$C$421,3,0),0)</f>
        <v>14337</v>
      </c>
      <c r="O540" s="28">
        <v>0</v>
      </c>
      <c r="P540" s="28">
        <f t="shared" si="73"/>
        <v>14337</v>
      </c>
      <c r="Q540" s="20">
        <f t="shared" si="82"/>
        <v>28674</v>
      </c>
    </row>
    <row r="541" spans="1:17" ht="15" customHeight="1">
      <c r="A541" s="33" t="s">
        <v>542</v>
      </c>
      <c r="B541" s="37">
        <v>8</v>
      </c>
      <c r="C541" s="28" t="s">
        <v>566</v>
      </c>
      <c r="D541" s="28" t="s">
        <v>748</v>
      </c>
      <c r="E541" s="28">
        <f>+IFERROR(VLOOKUP(A541,TB31032020!$A$11:$C$415,2,0),0)</f>
        <v>0</v>
      </c>
      <c r="F541" s="28">
        <v>0</v>
      </c>
      <c r="G541" s="28">
        <f t="shared" si="79"/>
        <v>0</v>
      </c>
      <c r="H541" s="28">
        <f>+IFERROR(VLOOKUP(A541,TB31032020!$A$11:$C$415,3,0),0)</f>
        <v>0</v>
      </c>
      <c r="I541" s="28">
        <v>0</v>
      </c>
      <c r="J541" s="28">
        <f t="shared" si="80"/>
        <v>0</v>
      </c>
      <c r="K541" s="28">
        <f>+IFERROR(VLOOKUP(A541,TB310320119!$A$11:$C$422,2,0),0)</f>
        <v>1521769</v>
      </c>
      <c r="L541" s="28">
        <v>0</v>
      </c>
      <c r="M541" s="28">
        <f t="shared" si="81"/>
        <v>1521769</v>
      </c>
      <c r="N541" s="28">
        <f>+IFERROR(VLOOKUP(A541,TB310320119!$A$11:$C$421,3,0),0)</f>
        <v>0</v>
      </c>
      <c r="O541" s="28">
        <v>0</v>
      </c>
      <c r="P541" s="28">
        <f t="shared" si="73"/>
        <v>0</v>
      </c>
      <c r="Q541" s="20">
        <f t="shared" si="82"/>
        <v>3043538</v>
      </c>
    </row>
    <row r="542" spans="1:17" s="63" customFormat="1" ht="15.75" customHeight="1" thickBot="1">
      <c r="A542" s="61"/>
      <c r="B542" s="61"/>
      <c r="C542" s="61"/>
      <c r="D542" s="61"/>
      <c r="E542" s="62">
        <f t="shared" ref="E542:P542" si="88">SUM(E5:E541)</f>
        <v>1255100493.1099999</v>
      </c>
      <c r="F542" s="62">
        <f t="shared" si="88"/>
        <v>-750</v>
      </c>
      <c r="G542" s="62">
        <f t="shared" si="88"/>
        <v>1255099743.1099999</v>
      </c>
      <c r="H542" s="62">
        <f t="shared" si="88"/>
        <v>1255100493.1100001</v>
      </c>
      <c r="I542" s="62">
        <f t="shared" si="88"/>
        <v>-750</v>
      </c>
      <c r="J542" s="62">
        <f t="shared" si="88"/>
        <v>1255099743.1100001</v>
      </c>
      <c r="K542" s="62">
        <f t="shared" si="88"/>
        <v>1293992393.9599998</v>
      </c>
      <c r="L542" s="62">
        <f t="shared" si="88"/>
        <v>192300</v>
      </c>
      <c r="M542" s="62">
        <f t="shared" si="88"/>
        <v>1294184693.9599998</v>
      </c>
      <c r="N542" s="62">
        <f t="shared" si="88"/>
        <v>1293992393.96</v>
      </c>
      <c r="O542" s="62">
        <f t="shared" si="88"/>
        <v>192300</v>
      </c>
      <c r="P542" s="62">
        <f t="shared" si="88"/>
        <v>1294184693.96</v>
      </c>
    </row>
    <row r="543" spans="1:17" s="65" customFormat="1" ht="15.75" customHeight="1" thickTop="1">
      <c r="A543" s="64"/>
      <c r="B543" s="64"/>
      <c r="C543" s="64"/>
      <c r="D543" s="64"/>
      <c r="E543" s="28" t="e">
        <f>+TB31032020!#REF!</f>
        <v>#REF!</v>
      </c>
      <c r="F543" s="28"/>
      <c r="G543" s="28">
        <f>+G542-J542</f>
        <v>0</v>
      </c>
      <c r="H543" s="28" t="e">
        <f>+TB31032020!#REF!</f>
        <v>#REF!</v>
      </c>
      <c r="I543" s="28"/>
      <c r="J543" s="28"/>
      <c r="K543" s="64">
        <f>+TB310320119!B422</f>
        <v>1293992393.96</v>
      </c>
      <c r="L543" s="64"/>
      <c r="M543" s="64">
        <f>+M542-P542</f>
        <v>0</v>
      </c>
      <c r="N543" s="64">
        <f>+TB310320119!C422</f>
        <v>1293992393.96</v>
      </c>
      <c r="O543" s="64"/>
      <c r="P543" s="64"/>
    </row>
    <row r="544" spans="1:17">
      <c r="A544" s="56"/>
      <c r="B544" s="56"/>
      <c r="C544" s="56"/>
      <c r="D544" s="56"/>
      <c r="E544" s="28" t="e">
        <f>+E542-E543</f>
        <v>#REF!</v>
      </c>
      <c r="F544" s="28"/>
      <c r="G544" s="28"/>
      <c r="H544" s="66" t="e">
        <f>+H542-H543</f>
        <v>#REF!</v>
      </c>
      <c r="I544" s="28"/>
      <c r="J544" s="28"/>
      <c r="K544" s="56">
        <f>+K543-K542</f>
        <v>0</v>
      </c>
      <c r="L544" s="56"/>
      <c r="M544" s="56"/>
      <c r="N544" s="56">
        <f>+N543-N542</f>
        <v>0</v>
      </c>
      <c r="O544" s="56"/>
      <c r="P544" s="56"/>
    </row>
    <row r="545" spans="1:16">
      <c r="A545" s="33"/>
      <c r="B545" s="56"/>
      <c r="C545" s="28"/>
      <c r="D545" s="28"/>
      <c r="E545" s="28"/>
      <c r="F545" s="28"/>
      <c r="G545" s="28"/>
      <c r="H545" s="28"/>
      <c r="I545" s="28"/>
      <c r="J545" s="28"/>
      <c r="K545" s="28"/>
      <c r="L545" s="28"/>
      <c r="M545" s="28"/>
      <c r="N545" s="28"/>
      <c r="O545" s="28"/>
      <c r="P545" s="28"/>
    </row>
    <row r="546" spans="1:16">
      <c r="A546" s="56"/>
      <c r="B546" s="56"/>
      <c r="C546" s="56"/>
      <c r="D546" s="56"/>
      <c r="E546" s="56"/>
      <c r="F546" s="56"/>
      <c r="G546" s="56"/>
      <c r="H546" s="56"/>
      <c r="I546" s="56"/>
      <c r="J546" s="56"/>
      <c r="K546" s="56"/>
      <c r="L546" s="56"/>
      <c r="M546" s="56"/>
      <c r="N546" s="56"/>
      <c r="O546" s="56"/>
      <c r="P546" s="56"/>
    </row>
    <row r="547" spans="1:16">
      <c r="A547" s="56"/>
      <c r="B547" s="56"/>
      <c r="C547" s="56"/>
      <c r="D547" s="56"/>
      <c r="E547" s="56"/>
      <c r="F547" s="56"/>
      <c r="G547" s="56"/>
      <c r="H547" s="56"/>
      <c r="I547" s="56"/>
      <c r="J547" s="56"/>
      <c r="K547" s="56"/>
      <c r="L547" s="56"/>
      <c r="M547" s="56"/>
      <c r="N547" s="56"/>
      <c r="O547" s="56"/>
      <c r="P547" s="56"/>
    </row>
    <row r="548" spans="1:16">
      <c r="A548" s="56"/>
      <c r="B548" s="56"/>
      <c r="C548" s="56"/>
      <c r="D548" s="56"/>
      <c r="E548" s="56"/>
      <c r="F548" s="56"/>
      <c r="G548" s="56"/>
      <c r="H548" s="56"/>
      <c r="I548" s="56"/>
      <c r="J548" s="56"/>
      <c r="K548" s="56"/>
      <c r="L548" s="56"/>
      <c r="M548" s="56"/>
      <c r="N548" s="56"/>
      <c r="O548" s="56"/>
      <c r="P548" s="56"/>
    </row>
    <row r="549" spans="1:16">
      <c r="A549" s="56"/>
      <c r="B549" s="56"/>
      <c r="C549" s="56"/>
      <c r="D549" s="56"/>
      <c r="E549" s="56"/>
      <c r="F549" s="56"/>
      <c r="G549" s="56"/>
      <c r="H549" s="56"/>
      <c r="I549" s="56"/>
      <c r="J549" s="56"/>
      <c r="K549" s="56"/>
      <c r="L549" s="56"/>
      <c r="M549" s="56"/>
      <c r="N549" s="56"/>
      <c r="O549" s="56"/>
      <c r="P549" s="56"/>
    </row>
    <row r="550" spans="1:16">
      <c r="A550" s="56"/>
      <c r="B550" s="56"/>
      <c r="C550" s="56"/>
      <c r="D550" s="56"/>
      <c r="E550" s="56"/>
      <c r="F550" s="56"/>
      <c r="G550" s="56"/>
      <c r="H550" s="56"/>
      <c r="I550" s="56"/>
      <c r="J550" s="56"/>
      <c r="K550" s="56"/>
      <c r="L550" s="56"/>
      <c r="M550" s="56"/>
      <c r="N550" s="56"/>
      <c r="O550" s="56"/>
      <c r="P550" s="56"/>
    </row>
    <row r="551" spans="1:16">
      <c r="A551" s="56"/>
      <c r="B551" s="56"/>
      <c r="C551" s="56"/>
      <c r="D551" s="56"/>
      <c r="E551" s="56"/>
      <c r="F551" s="56"/>
      <c r="G551" s="56"/>
      <c r="H551" s="56"/>
      <c r="I551" s="56"/>
      <c r="J551" s="56"/>
      <c r="K551" s="56"/>
      <c r="L551" s="56"/>
      <c r="M551" s="56"/>
      <c r="N551" s="56"/>
      <c r="O551" s="56"/>
      <c r="P551" s="56"/>
    </row>
    <row r="552" spans="1:16">
      <c r="A552" s="56"/>
      <c r="B552" s="56"/>
      <c r="C552" s="56"/>
      <c r="D552" s="56"/>
      <c r="E552" s="56"/>
      <c r="F552" s="56"/>
      <c r="G552" s="56"/>
      <c r="H552" s="56"/>
      <c r="I552" s="56"/>
      <c r="J552" s="56"/>
      <c r="K552" s="56"/>
      <c r="L552" s="56"/>
      <c r="M552" s="56"/>
      <c r="N552" s="56"/>
      <c r="O552" s="56"/>
      <c r="P552" s="56"/>
    </row>
    <row r="553" spans="1:16">
      <c r="A553" s="56"/>
      <c r="B553" s="56"/>
      <c r="C553" s="56"/>
      <c r="D553" s="56"/>
      <c r="E553" s="56"/>
      <c r="F553" s="56"/>
      <c r="G553" s="56"/>
      <c r="H553" s="56"/>
      <c r="I553" s="56"/>
      <c r="J553" s="56"/>
      <c r="K553" s="56"/>
      <c r="L553" s="56"/>
      <c r="M553" s="56"/>
      <c r="N553" s="56"/>
      <c r="O553" s="56"/>
      <c r="P553" s="56"/>
    </row>
    <row r="554" spans="1:16">
      <c r="A554" s="56"/>
      <c r="B554" s="56"/>
      <c r="C554" s="56"/>
      <c r="D554" s="56"/>
      <c r="E554" s="56"/>
      <c r="F554" s="56"/>
      <c r="G554" s="56"/>
      <c r="H554" s="56"/>
      <c r="I554" s="56"/>
      <c r="J554" s="56"/>
      <c r="K554" s="56"/>
      <c r="L554" s="56"/>
      <c r="M554" s="56"/>
      <c r="N554" s="56"/>
      <c r="O554" s="56"/>
      <c r="P554" s="56"/>
    </row>
    <row r="555" spans="1:16">
      <c r="A555" s="56"/>
      <c r="B555" s="56"/>
      <c r="C555" s="56"/>
      <c r="D555" s="56"/>
      <c r="E555" s="56"/>
      <c r="F555" s="56"/>
      <c r="G555" s="56"/>
      <c r="H555" s="56"/>
      <c r="I555" s="56"/>
      <c r="J555" s="56"/>
      <c r="K555" s="56"/>
      <c r="L555" s="56"/>
      <c r="M555" s="56"/>
      <c r="N555" s="56"/>
      <c r="O555" s="56"/>
      <c r="P555" s="56"/>
    </row>
    <row r="556" spans="1:16">
      <c r="A556" s="56"/>
      <c r="B556" s="56"/>
      <c r="C556" s="56"/>
      <c r="D556" s="56"/>
      <c r="E556" s="56"/>
      <c r="F556" s="56"/>
      <c r="G556" s="56"/>
      <c r="H556" s="56"/>
      <c r="I556" s="56"/>
      <c r="J556" s="56"/>
      <c r="K556" s="56"/>
      <c r="L556" s="56"/>
      <c r="M556" s="56"/>
      <c r="N556" s="56"/>
      <c r="O556" s="56"/>
      <c r="P556" s="56"/>
    </row>
    <row r="557" spans="1:16">
      <c r="A557" s="56"/>
      <c r="B557" s="56"/>
      <c r="C557" s="56"/>
      <c r="D557" s="56"/>
      <c r="E557" s="56"/>
      <c r="F557" s="56"/>
      <c r="G557" s="56"/>
      <c r="H557" s="56"/>
      <c r="I557" s="56"/>
      <c r="J557" s="56"/>
      <c r="K557" s="56"/>
      <c r="L557" s="56"/>
      <c r="M557" s="56"/>
      <c r="N557" s="56"/>
      <c r="O557" s="56"/>
      <c r="P557" s="56"/>
    </row>
    <row r="558" spans="1:16">
      <c r="A558" s="56"/>
      <c r="B558" s="56"/>
      <c r="C558" s="56"/>
      <c r="D558" s="56"/>
      <c r="E558" s="56"/>
      <c r="F558" s="56"/>
      <c r="G558" s="56"/>
      <c r="H558" s="56"/>
      <c r="I558" s="56"/>
      <c r="J558" s="56"/>
      <c r="K558" s="56"/>
      <c r="L558" s="56"/>
      <c r="M558" s="56"/>
      <c r="N558" s="56"/>
      <c r="O558" s="56"/>
      <c r="P558" s="56"/>
    </row>
    <row r="559" spans="1:16">
      <c r="A559" s="56"/>
      <c r="B559" s="56"/>
      <c r="C559" s="56"/>
      <c r="D559" s="56"/>
      <c r="E559" s="56"/>
      <c r="F559" s="56"/>
      <c r="G559" s="56"/>
      <c r="H559" s="56"/>
      <c r="I559" s="56"/>
      <c r="J559" s="56"/>
      <c r="K559" s="56"/>
      <c r="L559" s="56"/>
      <c r="M559" s="56"/>
      <c r="N559" s="56"/>
      <c r="O559" s="56"/>
      <c r="P559" s="56"/>
    </row>
    <row r="560" spans="1:16">
      <c r="A560" s="56"/>
      <c r="B560" s="56"/>
      <c r="C560" s="56"/>
      <c r="D560" s="56"/>
      <c r="E560" s="56"/>
      <c r="F560" s="56"/>
      <c r="G560" s="56"/>
      <c r="H560" s="56"/>
      <c r="I560" s="56"/>
      <c r="J560" s="56"/>
      <c r="K560" s="56"/>
      <c r="L560" s="56"/>
      <c r="M560" s="56"/>
      <c r="N560" s="56"/>
      <c r="O560" s="56"/>
      <c r="P560" s="56"/>
    </row>
    <row r="561" spans="1:16">
      <c r="A561" s="56"/>
      <c r="B561" s="56"/>
      <c r="C561" s="56"/>
      <c r="D561" s="56"/>
      <c r="E561" s="56"/>
      <c r="F561" s="56"/>
      <c r="G561" s="56"/>
      <c r="H561" s="56"/>
      <c r="I561" s="56"/>
      <c r="J561" s="56"/>
      <c r="K561" s="56"/>
      <c r="L561" s="56"/>
      <c r="M561" s="56"/>
      <c r="N561" s="56"/>
      <c r="O561" s="56"/>
      <c r="P561" s="56"/>
    </row>
    <row r="562" spans="1:16">
      <c r="A562" s="56"/>
      <c r="B562" s="56"/>
      <c r="C562" s="56"/>
      <c r="D562" s="56"/>
      <c r="E562" s="56"/>
      <c r="F562" s="56"/>
      <c r="G562" s="56"/>
      <c r="H562" s="56"/>
      <c r="I562" s="56"/>
      <c r="J562" s="56"/>
      <c r="K562" s="56"/>
      <c r="L562" s="56"/>
      <c r="M562" s="56"/>
      <c r="N562" s="56"/>
      <c r="O562" s="56"/>
      <c r="P562" s="56"/>
    </row>
    <row r="563" spans="1:16">
      <c r="A563" s="56"/>
      <c r="B563" s="56"/>
      <c r="C563" s="56"/>
      <c r="D563" s="56"/>
      <c r="E563" s="56"/>
      <c r="F563" s="56"/>
      <c r="G563" s="56"/>
      <c r="H563" s="56"/>
      <c r="I563" s="56"/>
      <c r="J563" s="56"/>
      <c r="K563" s="56"/>
      <c r="L563" s="56"/>
      <c r="M563" s="56"/>
      <c r="N563" s="56"/>
      <c r="O563" s="56"/>
      <c r="P563" s="56"/>
    </row>
    <row r="564" spans="1:16">
      <c r="A564" s="56"/>
      <c r="B564" s="56"/>
      <c r="C564" s="56"/>
      <c r="D564" s="56"/>
      <c r="E564" s="56"/>
      <c r="F564" s="56"/>
      <c r="G564" s="56"/>
      <c r="H564" s="56"/>
      <c r="I564" s="56"/>
      <c r="J564" s="56"/>
      <c r="K564" s="56"/>
      <c r="L564" s="56"/>
      <c r="M564" s="56"/>
      <c r="N564" s="56"/>
      <c r="O564" s="56"/>
      <c r="P564" s="56"/>
    </row>
    <row r="565" spans="1:16">
      <c r="A565" s="56"/>
      <c r="B565" s="56"/>
      <c r="C565" s="56"/>
      <c r="D565" s="56"/>
      <c r="E565" s="56"/>
      <c r="F565" s="56"/>
      <c r="G565" s="56"/>
      <c r="H565" s="56"/>
      <c r="I565" s="56"/>
      <c r="J565" s="56"/>
      <c r="K565" s="56"/>
      <c r="L565" s="56"/>
      <c r="M565" s="56"/>
      <c r="N565" s="56"/>
      <c r="O565" s="56"/>
      <c r="P565" s="56"/>
    </row>
    <row r="566" spans="1:16">
      <c r="A566" s="56"/>
      <c r="B566" s="56"/>
      <c r="C566" s="56"/>
      <c r="D566" s="56"/>
      <c r="E566" s="56"/>
      <c r="F566" s="56"/>
      <c r="G566" s="56"/>
      <c r="H566" s="56"/>
      <c r="I566" s="56"/>
      <c r="J566" s="56"/>
      <c r="K566" s="56"/>
      <c r="L566" s="56"/>
      <c r="M566" s="56"/>
      <c r="N566" s="56"/>
      <c r="O566" s="56"/>
      <c r="P566" s="56"/>
    </row>
    <row r="567" spans="1:16">
      <c r="A567" s="56"/>
      <c r="B567" s="56"/>
      <c r="C567" s="56"/>
      <c r="D567" s="56"/>
      <c r="E567" s="56"/>
      <c r="F567" s="56"/>
      <c r="G567" s="56"/>
      <c r="H567" s="56"/>
      <c r="I567" s="56"/>
      <c r="J567" s="56"/>
      <c r="K567" s="56"/>
      <c r="L567" s="56"/>
      <c r="M567" s="56"/>
      <c r="N567" s="56"/>
      <c r="O567" s="56"/>
      <c r="P567" s="56"/>
    </row>
    <row r="568" spans="1:16">
      <c r="A568" s="56"/>
      <c r="B568" s="56"/>
      <c r="C568" s="56"/>
      <c r="D568" s="56"/>
      <c r="E568" s="56"/>
      <c r="F568" s="56"/>
      <c r="G568" s="56"/>
      <c r="H568" s="56"/>
      <c r="I568" s="56"/>
      <c r="J568" s="56"/>
      <c r="K568" s="56"/>
      <c r="L568" s="56"/>
      <c r="M568" s="56"/>
      <c r="N568" s="56"/>
      <c r="O568" s="56"/>
      <c r="P568" s="56"/>
    </row>
    <row r="569" spans="1:16">
      <c r="A569" s="56"/>
      <c r="B569" s="56"/>
      <c r="C569" s="56"/>
      <c r="D569" s="56"/>
      <c r="E569" s="56"/>
      <c r="F569" s="56"/>
      <c r="G569" s="56"/>
      <c r="H569" s="56"/>
      <c r="I569" s="56"/>
      <c r="J569" s="56"/>
      <c r="K569" s="56"/>
      <c r="L569" s="56"/>
      <c r="M569" s="56"/>
      <c r="N569" s="56"/>
      <c r="O569" s="56"/>
      <c r="P569" s="56"/>
    </row>
    <row r="570" spans="1:16">
      <c r="A570" s="56"/>
      <c r="B570" s="56"/>
      <c r="C570" s="56"/>
      <c r="D570" s="56"/>
      <c r="E570" s="56"/>
      <c r="F570" s="56"/>
      <c r="G570" s="56"/>
      <c r="H570" s="56"/>
      <c r="I570" s="56"/>
      <c r="J570" s="56"/>
      <c r="K570" s="56"/>
      <c r="L570" s="56"/>
      <c r="M570" s="56"/>
      <c r="N570" s="56"/>
      <c r="O570" s="56"/>
      <c r="P570" s="56"/>
    </row>
    <row r="571" spans="1:16">
      <c r="A571" s="56"/>
      <c r="B571" s="56"/>
      <c r="C571" s="56"/>
      <c r="D571" s="56"/>
      <c r="E571" s="56"/>
      <c r="F571" s="56"/>
      <c r="G571" s="56"/>
      <c r="H571" s="56"/>
      <c r="I571" s="56"/>
      <c r="J571" s="56"/>
      <c r="K571" s="56"/>
      <c r="L571" s="56"/>
      <c r="M571" s="56"/>
      <c r="N571" s="56"/>
      <c r="O571" s="56"/>
      <c r="P571" s="56"/>
    </row>
    <row r="572" spans="1:16">
      <c r="A572" s="56"/>
      <c r="B572" s="56"/>
      <c r="C572" s="56"/>
      <c r="D572" s="56"/>
      <c r="E572" s="56"/>
      <c r="F572" s="56"/>
      <c r="G572" s="56"/>
      <c r="H572" s="56"/>
      <c r="I572" s="56"/>
      <c r="J572" s="56"/>
      <c r="K572" s="56"/>
      <c r="L572" s="56"/>
      <c r="M572" s="56"/>
      <c r="N572" s="56"/>
      <c r="O572" s="56"/>
      <c r="P572" s="56"/>
    </row>
    <row r="573" spans="1:16">
      <c r="A573" s="56"/>
      <c r="B573" s="56"/>
      <c r="C573" s="56"/>
      <c r="D573" s="56"/>
      <c r="E573" s="56"/>
      <c r="F573" s="56"/>
      <c r="G573" s="56"/>
      <c r="H573" s="56"/>
      <c r="I573" s="56"/>
      <c r="J573" s="56"/>
      <c r="K573" s="56"/>
      <c r="L573" s="56"/>
      <c r="M573" s="56"/>
      <c r="N573" s="56"/>
      <c r="O573" s="56"/>
      <c r="P573" s="56"/>
    </row>
    <row r="574" spans="1:16">
      <c r="A574" s="56"/>
      <c r="B574" s="56"/>
      <c r="C574" s="56"/>
      <c r="D574" s="56"/>
      <c r="E574" s="56"/>
      <c r="F574" s="56"/>
      <c r="G574" s="56"/>
      <c r="H574" s="56"/>
      <c r="I574" s="56"/>
      <c r="J574" s="56"/>
      <c r="K574" s="56"/>
      <c r="L574" s="56"/>
      <c r="M574" s="56"/>
      <c r="N574" s="56"/>
      <c r="O574" s="56"/>
      <c r="P574" s="56"/>
    </row>
    <row r="575" spans="1:16">
      <c r="A575" s="56"/>
      <c r="B575" s="56"/>
      <c r="C575" s="56"/>
      <c r="D575" s="56"/>
      <c r="E575" s="56"/>
      <c r="F575" s="56"/>
      <c r="G575" s="56"/>
      <c r="H575" s="56"/>
      <c r="I575" s="56"/>
      <c r="J575" s="56"/>
      <c r="K575" s="56"/>
      <c r="L575" s="56"/>
      <c r="M575" s="56"/>
      <c r="N575" s="56"/>
      <c r="O575" s="56"/>
      <c r="P575" s="56"/>
    </row>
    <row r="576" spans="1:16">
      <c r="A576" s="56"/>
      <c r="B576" s="56"/>
      <c r="C576" s="56"/>
      <c r="D576" s="56"/>
      <c r="E576" s="56"/>
      <c r="F576" s="56"/>
      <c r="G576" s="56"/>
      <c r="H576" s="56"/>
      <c r="I576" s="56"/>
      <c r="J576" s="56"/>
      <c r="K576" s="56"/>
      <c r="L576" s="56"/>
      <c r="M576" s="56"/>
      <c r="N576" s="56"/>
      <c r="O576" s="56"/>
      <c r="P576" s="56"/>
    </row>
    <row r="577" spans="1:16">
      <c r="A577" s="56"/>
      <c r="B577" s="56"/>
      <c r="C577" s="56"/>
      <c r="D577" s="56"/>
      <c r="E577" s="56"/>
      <c r="F577" s="56"/>
      <c r="G577" s="56"/>
      <c r="H577" s="56"/>
      <c r="I577" s="56"/>
      <c r="J577" s="56"/>
      <c r="K577" s="56"/>
      <c r="L577" s="56"/>
      <c r="M577" s="56"/>
      <c r="N577" s="56"/>
      <c r="O577" s="56"/>
      <c r="P577" s="56"/>
    </row>
    <row r="578" spans="1:16">
      <c r="A578" s="56"/>
      <c r="B578" s="56"/>
      <c r="C578" s="56"/>
      <c r="D578" s="56"/>
      <c r="E578" s="56"/>
      <c r="F578" s="56"/>
      <c r="G578" s="56"/>
      <c r="H578" s="56"/>
      <c r="I578" s="56"/>
      <c r="J578" s="56"/>
      <c r="K578" s="56"/>
      <c r="L578" s="56"/>
      <c r="M578" s="56"/>
      <c r="N578" s="56"/>
      <c r="O578" s="56"/>
      <c r="P578" s="56"/>
    </row>
    <row r="579" spans="1:16">
      <c r="A579" s="56"/>
      <c r="B579" s="56"/>
      <c r="C579" s="56"/>
      <c r="D579" s="56"/>
      <c r="E579" s="56"/>
      <c r="F579" s="56"/>
      <c r="G579" s="56"/>
      <c r="H579" s="56"/>
      <c r="I579" s="56"/>
      <c r="J579" s="56"/>
      <c r="K579" s="56"/>
      <c r="L579" s="56"/>
      <c r="M579" s="56"/>
      <c r="N579" s="56"/>
      <c r="O579" s="56"/>
      <c r="P579" s="56"/>
    </row>
    <row r="580" spans="1:16">
      <c r="A580" s="56"/>
      <c r="B580" s="56"/>
      <c r="C580" s="56"/>
      <c r="D580" s="56"/>
      <c r="E580" s="56"/>
      <c r="F580" s="56"/>
      <c r="G580" s="56"/>
      <c r="H580" s="56"/>
      <c r="I580" s="56"/>
      <c r="J580" s="56"/>
      <c r="K580" s="56"/>
      <c r="L580" s="56"/>
      <c r="M580" s="56"/>
      <c r="N580" s="56"/>
      <c r="O580" s="56"/>
      <c r="P580" s="56"/>
    </row>
    <row r="581" spans="1:16">
      <c r="A581" s="56"/>
      <c r="B581" s="56"/>
      <c r="C581" s="56"/>
      <c r="D581" s="56"/>
      <c r="E581" s="56"/>
      <c r="F581" s="56"/>
      <c r="G581" s="56"/>
      <c r="H581" s="56"/>
      <c r="I581" s="56"/>
      <c r="J581" s="56"/>
      <c r="K581" s="56"/>
      <c r="L581" s="56"/>
      <c r="M581" s="56"/>
      <c r="N581" s="56"/>
      <c r="O581" s="56"/>
      <c r="P581" s="56"/>
    </row>
    <row r="582" spans="1:16">
      <c r="A582" s="56"/>
      <c r="B582" s="56"/>
      <c r="C582" s="56"/>
      <c r="D582" s="56"/>
      <c r="E582" s="56"/>
      <c r="F582" s="56"/>
      <c r="G582" s="56"/>
      <c r="H582" s="56"/>
      <c r="I582" s="56"/>
      <c r="J582" s="56"/>
      <c r="K582" s="56"/>
      <c r="L582" s="56"/>
      <c r="M582" s="56"/>
      <c r="N582" s="56"/>
      <c r="O582" s="56"/>
      <c r="P582" s="56"/>
    </row>
    <row r="583" spans="1:16">
      <c r="A583" s="56"/>
      <c r="B583" s="56"/>
      <c r="C583" s="56"/>
      <c r="D583" s="56"/>
      <c r="E583" s="56"/>
      <c r="F583" s="56"/>
      <c r="G583" s="56"/>
      <c r="H583" s="56"/>
      <c r="I583" s="56"/>
      <c r="J583" s="56"/>
      <c r="K583" s="56"/>
      <c r="L583" s="56"/>
      <c r="M583" s="56"/>
      <c r="N583" s="56"/>
      <c r="O583" s="56"/>
      <c r="P583" s="56"/>
    </row>
    <row r="584" spans="1:16">
      <c r="A584" s="56"/>
      <c r="B584" s="56"/>
      <c r="C584" s="56"/>
      <c r="D584" s="56"/>
      <c r="E584" s="56"/>
      <c r="F584" s="56"/>
      <c r="G584" s="56"/>
      <c r="H584" s="56"/>
      <c r="I584" s="56"/>
      <c r="J584" s="56"/>
      <c r="K584" s="56"/>
      <c r="L584" s="56"/>
      <c r="M584" s="56"/>
      <c r="N584" s="56"/>
      <c r="O584" s="56"/>
      <c r="P584" s="56"/>
    </row>
    <row r="585" spans="1:16">
      <c r="A585" s="56"/>
      <c r="B585" s="56"/>
      <c r="C585" s="56"/>
      <c r="D585" s="56"/>
      <c r="E585" s="56"/>
      <c r="F585" s="56"/>
      <c r="G585" s="56"/>
      <c r="H585" s="56"/>
      <c r="I585" s="56"/>
      <c r="J585" s="56"/>
      <c r="K585" s="56"/>
      <c r="L585" s="56"/>
      <c r="M585" s="56"/>
      <c r="N585" s="56"/>
      <c r="O585" s="56"/>
      <c r="P585" s="56"/>
    </row>
    <row r="586" spans="1:16">
      <c r="A586" s="56"/>
      <c r="B586" s="56"/>
      <c r="C586" s="56"/>
      <c r="D586" s="56"/>
      <c r="E586" s="56"/>
      <c r="F586" s="56"/>
      <c r="G586" s="56"/>
      <c r="H586" s="56"/>
      <c r="I586" s="56"/>
      <c r="J586" s="56"/>
      <c r="K586" s="56"/>
      <c r="L586" s="56"/>
      <c r="M586" s="56"/>
      <c r="N586" s="56"/>
      <c r="O586" s="56"/>
      <c r="P586" s="56"/>
    </row>
    <row r="587" spans="1:16">
      <c r="A587" s="56"/>
      <c r="B587" s="56"/>
      <c r="C587" s="56"/>
      <c r="D587" s="56"/>
      <c r="E587" s="56"/>
      <c r="F587" s="56"/>
      <c r="G587" s="56"/>
      <c r="H587" s="56"/>
      <c r="I587" s="56"/>
      <c r="J587" s="56"/>
      <c r="K587" s="56"/>
      <c r="L587" s="56"/>
      <c r="M587" s="56"/>
      <c r="N587" s="56"/>
      <c r="O587" s="56"/>
      <c r="P587" s="56"/>
    </row>
    <row r="588" spans="1:16">
      <c r="A588" s="56"/>
      <c r="B588" s="56"/>
      <c r="C588" s="56"/>
      <c r="D588" s="56"/>
      <c r="E588" s="56"/>
      <c r="F588" s="56"/>
      <c r="G588" s="56"/>
      <c r="H588" s="56"/>
      <c r="I588" s="56"/>
      <c r="J588" s="56"/>
      <c r="K588" s="56"/>
      <c r="L588" s="56"/>
      <c r="M588" s="56"/>
      <c r="N588" s="56"/>
      <c r="O588" s="56"/>
      <c r="P588" s="56"/>
    </row>
    <row r="589" spans="1:16">
      <c r="A589" s="56"/>
      <c r="B589" s="56"/>
      <c r="C589" s="56"/>
      <c r="D589" s="56"/>
      <c r="E589" s="56"/>
      <c r="F589" s="56"/>
      <c r="G589" s="56"/>
      <c r="H589" s="56"/>
      <c r="I589" s="56"/>
      <c r="J589" s="56"/>
      <c r="K589" s="56"/>
      <c r="L589" s="56"/>
      <c r="M589" s="56"/>
      <c r="N589" s="56"/>
      <c r="O589" s="56"/>
      <c r="P589" s="56"/>
    </row>
    <row r="590" spans="1:16">
      <c r="A590" s="56"/>
      <c r="B590" s="56"/>
      <c r="C590" s="56"/>
      <c r="D590" s="56"/>
      <c r="E590" s="56"/>
      <c r="F590" s="56"/>
      <c r="G590" s="56"/>
      <c r="H590" s="56"/>
      <c r="I590" s="56"/>
      <c r="J590" s="56"/>
      <c r="K590" s="56"/>
      <c r="L590" s="56"/>
      <c r="M590" s="56"/>
      <c r="N590" s="56"/>
      <c r="O590" s="56"/>
      <c r="P590" s="56"/>
    </row>
    <row r="591" spans="1:16">
      <c r="A591" s="56"/>
      <c r="B591" s="56"/>
      <c r="C591" s="56"/>
      <c r="D591" s="56"/>
      <c r="E591" s="56"/>
      <c r="F591" s="56"/>
      <c r="G591" s="56"/>
      <c r="H591" s="56"/>
      <c r="I591" s="56"/>
      <c r="J591" s="56"/>
      <c r="K591" s="56"/>
      <c r="L591" s="56"/>
      <c r="M591" s="56"/>
      <c r="N591" s="56"/>
      <c r="O591" s="56"/>
      <c r="P591" s="56"/>
    </row>
    <row r="592" spans="1:16">
      <c r="A592" s="56"/>
      <c r="B592" s="56"/>
      <c r="C592" s="56"/>
      <c r="D592" s="56"/>
      <c r="E592" s="56"/>
      <c r="F592" s="56"/>
      <c r="G592" s="56"/>
      <c r="H592" s="56"/>
      <c r="I592" s="56"/>
      <c r="J592" s="56"/>
      <c r="K592" s="56"/>
      <c r="L592" s="56"/>
      <c r="M592" s="56"/>
      <c r="N592" s="56"/>
      <c r="O592" s="56"/>
      <c r="P592" s="56"/>
    </row>
    <row r="593" spans="1:16">
      <c r="A593" s="56"/>
      <c r="B593" s="56"/>
      <c r="C593" s="56"/>
      <c r="D593" s="56"/>
      <c r="E593" s="56"/>
      <c r="F593" s="56"/>
      <c r="G593" s="56"/>
      <c r="H593" s="56"/>
      <c r="I593" s="56"/>
      <c r="J593" s="56"/>
      <c r="K593" s="56"/>
      <c r="L593" s="56"/>
      <c r="M593" s="56"/>
      <c r="N593" s="56"/>
      <c r="O593" s="56"/>
      <c r="P593" s="56"/>
    </row>
    <row r="594" spans="1:16">
      <c r="A594" s="56"/>
      <c r="B594" s="56"/>
      <c r="C594" s="56"/>
      <c r="D594" s="56"/>
      <c r="E594" s="56"/>
      <c r="F594" s="56"/>
      <c r="G594" s="56"/>
      <c r="H594" s="56"/>
      <c r="I594" s="56"/>
      <c r="J594" s="56"/>
      <c r="K594" s="56"/>
      <c r="L594" s="56"/>
      <c r="M594" s="56"/>
      <c r="N594" s="56"/>
      <c r="O594" s="56"/>
      <c r="P594" s="56"/>
    </row>
    <row r="595" spans="1:16">
      <c r="A595" s="56"/>
      <c r="B595" s="56"/>
      <c r="C595" s="56"/>
      <c r="D595" s="56"/>
      <c r="E595" s="56"/>
      <c r="F595" s="56"/>
      <c r="G595" s="56"/>
      <c r="H595" s="56"/>
      <c r="I595" s="56"/>
      <c r="J595" s="56"/>
      <c r="K595" s="56"/>
      <c r="L595" s="56"/>
      <c r="M595" s="56"/>
      <c r="N595" s="56"/>
      <c r="O595" s="56"/>
      <c r="P595" s="56"/>
    </row>
    <row r="596" spans="1:16">
      <c r="A596" s="56"/>
      <c r="B596" s="56"/>
      <c r="C596" s="56"/>
      <c r="D596" s="56"/>
      <c r="E596" s="56"/>
      <c r="F596" s="56"/>
      <c r="G596" s="56"/>
      <c r="H596" s="56"/>
      <c r="I596" s="56"/>
      <c r="J596" s="56"/>
      <c r="K596" s="56"/>
      <c r="L596" s="56"/>
      <c r="M596" s="56"/>
      <c r="N596" s="56"/>
      <c r="O596" s="56"/>
      <c r="P596" s="56"/>
    </row>
    <row r="597" spans="1:16">
      <c r="A597" s="56"/>
      <c r="B597" s="56"/>
      <c r="C597" s="56"/>
      <c r="D597" s="56"/>
      <c r="E597" s="56"/>
      <c r="F597" s="56"/>
      <c r="G597" s="56"/>
      <c r="H597" s="56"/>
      <c r="I597" s="56"/>
      <c r="J597" s="56"/>
      <c r="K597" s="56"/>
      <c r="L597" s="56"/>
      <c r="M597" s="56"/>
      <c r="N597" s="56"/>
      <c r="O597" s="56"/>
      <c r="P597" s="56"/>
    </row>
    <row r="598" spans="1:16">
      <c r="A598" s="56"/>
      <c r="B598" s="56"/>
      <c r="C598" s="56"/>
      <c r="D598" s="56"/>
      <c r="E598" s="56"/>
      <c r="F598" s="56"/>
      <c r="G598" s="56"/>
      <c r="H598" s="56"/>
      <c r="I598" s="56"/>
      <c r="J598" s="56"/>
      <c r="K598" s="56"/>
      <c r="L598" s="56"/>
      <c r="M598" s="56"/>
      <c r="N598" s="56"/>
      <c r="O598" s="56"/>
      <c r="P598" s="56"/>
    </row>
    <row r="599" spans="1:16">
      <c r="A599" s="56"/>
      <c r="B599" s="56"/>
      <c r="C599" s="56"/>
      <c r="D599" s="56"/>
      <c r="E599" s="56"/>
      <c r="F599" s="56"/>
      <c r="G599" s="56"/>
      <c r="H599" s="56"/>
      <c r="I599" s="56"/>
      <c r="J599" s="56"/>
      <c r="K599" s="56"/>
      <c r="L599" s="56"/>
      <c r="M599" s="56"/>
      <c r="N599" s="56"/>
      <c r="O599" s="56"/>
      <c r="P599" s="56"/>
    </row>
    <row r="600" spans="1:16">
      <c r="A600" s="56"/>
      <c r="B600" s="56"/>
      <c r="C600" s="56"/>
      <c r="D600" s="56"/>
      <c r="E600" s="56"/>
      <c r="F600" s="56"/>
      <c r="G600" s="56"/>
      <c r="H600" s="56"/>
      <c r="I600" s="56"/>
      <c r="J600" s="56"/>
      <c r="K600" s="56"/>
      <c r="L600" s="56"/>
      <c r="M600" s="56"/>
      <c r="N600" s="56"/>
      <c r="O600" s="56"/>
      <c r="P600" s="56"/>
    </row>
    <row r="601" spans="1:16">
      <c r="A601" s="56"/>
      <c r="B601" s="56"/>
      <c r="C601" s="56"/>
      <c r="D601" s="56"/>
      <c r="E601" s="56"/>
      <c r="F601" s="56"/>
      <c r="G601" s="56"/>
      <c r="H601" s="56"/>
      <c r="I601" s="56"/>
      <c r="J601" s="56"/>
      <c r="K601" s="56"/>
      <c r="L601" s="56"/>
      <c r="M601" s="56"/>
      <c r="N601" s="56"/>
      <c r="O601" s="56"/>
      <c r="P601" s="56"/>
    </row>
    <row r="602" spans="1:16">
      <c r="A602" s="56"/>
      <c r="B602" s="56"/>
      <c r="C602" s="56"/>
      <c r="D602" s="56"/>
      <c r="E602" s="56"/>
      <c r="F602" s="56"/>
      <c r="G602" s="56"/>
      <c r="H602" s="56"/>
      <c r="I602" s="56"/>
      <c r="J602" s="56"/>
      <c r="K602" s="56"/>
      <c r="L602" s="56"/>
      <c r="M602" s="56"/>
      <c r="N602" s="56"/>
      <c r="O602" s="56"/>
      <c r="P602" s="56"/>
    </row>
    <row r="603" spans="1:16">
      <c r="A603" s="56"/>
      <c r="B603" s="56"/>
      <c r="C603" s="56"/>
      <c r="D603" s="56"/>
      <c r="E603" s="56"/>
      <c r="F603" s="56"/>
      <c r="G603" s="56"/>
      <c r="H603" s="56"/>
      <c r="I603" s="56"/>
      <c r="J603" s="56"/>
      <c r="K603" s="56"/>
      <c r="L603" s="56"/>
      <c r="M603" s="56"/>
      <c r="N603" s="56"/>
      <c r="O603" s="56"/>
      <c r="P603" s="56"/>
    </row>
    <row r="604" spans="1:16">
      <c r="A604" s="56"/>
      <c r="B604" s="56"/>
      <c r="C604" s="56"/>
      <c r="D604" s="56"/>
      <c r="E604" s="56"/>
      <c r="F604" s="56"/>
      <c r="G604" s="56"/>
      <c r="H604" s="56"/>
      <c r="I604" s="56"/>
      <c r="J604" s="56"/>
      <c r="K604" s="56"/>
      <c r="L604" s="56"/>
      <c r="M604" s="56"/>
      <c r="N604" s="56"/>
      <c r="O604" s="56"/>
      <c r="P604" s="56"/>
    </row>
    <row r="605" spans="1:16">
      <c r="A605" s="56"/>
      <c r="B605" s="56"/>
      <c r="C605" s="56"/>
      <c r="D605" s="56"/>
      <c r="E605" s="56"/>
      <c r="F605" s="56"/>
      <c r="G605" s="56"/>
      <c r="H605" s="56"/>
      <c r="I605" s="56"/>
      <c r="J605" s="56"/>
      <c r="K605" s="56"/>
      <c r="L605" s="56"/>
      <c r="M605" s="56"/>
      <c r="N605" s="56"/>
      <c r="O605" s="56"/>
      <c r="P605" s="56"/>
    </row>
    <row r="606" spans="1:16">
      <c r="A606" s="56"/>
      <c r="B606" s="56"/>
      <c r="C606" s="56"/>
      <c r="D606" s="56"/>
      <c r="E606" s="56"/>
      <c r="F606" s="56"/>
      <c r="G606" s="56"/>
      <c r="H606" s="56"/>
      <c r="I606" s="56"/>
      <c r="J606" s="56"/>
      <c r="K606" s="56"/>
      <c r="L606" s="56"/>
      <c r="M606" s="56"/>
      <c r="N606" s="56"/>
      <c r="O606" s="56"/>
      <c r="P606" s="56"/>
    </row>
    <row r="607" spans="1:16">
      <c r="A607" s="56"/>
      <c r="B607" s="56"/>
      <c r="C607" s="56"/>
      <c r="D607" s="56"/>
      <c r="E607" s="56"/>
      <c r="F607" s="56"/>
      <c r="G607" s="56"/>
      <c r="H607" s="56"/>
      <c r="I607" s="56"/>
      <c r="J607" s="56"/>
      <c r="K607" s="56"/>
      <c r="L607" s="56"/>
      <c r="M607" s="56"/>
      <c r="N607" s="56"/>
      <c r="O607" s="56"/>
      <c r="P607" s="56"/>
    </row>
    <row r="608" spans="1:16">
      <c r="A608" s="56"/>
      <c r="B608" s="56"/>
      <c r="C608" s="56"/>
      <c r="D608" s="56"/>
      <c r="E608" s="56"/>
      <c r="F608" s="56"/>
      <c r="G608" s="56"/>
      <c r="H608" s="56"/>
      <c r="I608" s="56"/>
      <c r="J608" s="56"/>
      <c r="K608" s="56"/>
      <c r="L608" s="56"/>
      <c r="M608" s="56"/>
      <c r="N608" s="56"/>
      <c r="O608" s="56"/>
      <c r="P608" s="56"/>
    </row>
    <row r="609" spans="1:16">
      <c r="A609" s="56"/>
      <c r="B609" s="56"/>
      <c r="C609" s="56"/>
      <c r="D609" s="56"/>
      <c r="E609" s="56"/>
      <c r="F609" s="56"/>
      <c r="G609" s="56"/>
      <c r="H609" s="56"/>
      <c r="I609" s="56"/>
      <c r="J609" s="56"/>
      <c r="K609" s="56"/>
      <c r="L609" s="56"/>
      <c r="M609" s="56"/>
      <c r="N609" s="56"/>
      <c r="O609" s="56"/>
      <c r="P609" s="56"/>
    </row>
    <row r="610" spans="1:16">
      <c r="A610" s="56"/>
      <c r="B610" s="56"/>
      <c r="C610" s="56"/>
      <c r="D610" s="56"/>
      <c r="E610" s="56"/>
      <c r="F610" s="56"/>
      <c r="G610" s="56"/>
      <c r="H610" s="56"/>
      <c r="I610" s="56"/>
      <c r="J610" s="56"/>
      <c r="K610" s="56"/>
      <c r="L610" s="56"/>
      <c r="M610" s="56"/>
      <c r="N610" s="56"/>
      <c r="O610" s="56"/>
      <c r="P610" s="56"/>
    </row>
    <row r="611" spans="1:16">
      <c r="A611" s="56"/>
      <c r="B611" s="56"/>
      <c r="C611" s="56"/>
      <c r="D611" s="56"/>
      <c r="E611" s="56"/>
      <c r="F611" s="56"/>
      <c r="G611" s="56"/>
      <c r="H611" s="56"/>
      <c r="I611" s="56"/>
      <c r="J611" s="56"/>
      <c r="K611" s="56"/>
      <c r="L611" s="56"/>
      <c r="M611" s="56"/>
      <c r="N611" s="56"/>
      <c r="O611" s="56"/>
      <c r="P611" s="56"/>
    </row>
    <row r="612" spans="1:16">
      <c r="A612" s="56"/>
      <c r="B612" s="56"/>
      <c r="C612" s="56"/>
      <c r="D612" s="56"/>
      <c r="E612" s="56"/>
      <c r="F612" s="56"/>
      <c r="G612" s="56"/>
      <c r="H612" s="56"/>
      <c r="I612" s="56"/>
      <c r="J612" s="56"/>
      <c r="K612" s="56"/>
      <c r="L612" s="56"/>
      <c r="M612" s="56"/>
      <c r="N612" s="56"/>
      <c r="O612" s="56"/>
      <c r="P612" s="56"/>
    </row>
    <row r="613" spans="1:16">
      <c r="A613" s="56"/>
      <c r="B613" s="56"/>
      <c r="C613" s="56"/>
      <c r="D613" s="56"/>
      <c r="E613" s="56"/>
      <c r="F613" s="56"/>
      <c r="G613" s="56"/>
      <c r="H613" s="56"/>
      <c r="I613" s="56"/>
      <c r="J613" s="56"/>
      <c r="K613" s="56"/>
      <c r="L613" s="56"/>
      <c r="M613" s="56"/>
      <c r="N613" s="56"/>
      <c r="O613" s="56"/>
      <c r="P613" s="56"/>
    </row>
    <row r="614" spans="1:16">
      <c r="A614" s="56"/>
      <c r="B614" s="56"/>
      <c r="C614" s="56"/>
      <c r="D614" s="56"/>
      <c r="E614" s="56"/>
      <c r="F614" s="56"/>
      <c r="G614" s="56"/>
      <c r="H614" s="56"/>
      <c r="I614" s="56"/>
      <c r="J614" s="56"/>
      <c r="K614" s="56"/>
      <c r="L614" s="56"/>
      <c r="M614" s="56"/>
      <c r="N614" s="56"/>
      <c r="O614" s="56"/>
      <c r="P614" s="56"/>
    </row>
    <row r="615" spans="1:16">
      <c r="A615" s="56"/>
      <c r="B615" s="56"/>
      <c r="C615" s="56"/>
      <c r="D615" s="56"/>
      <c r="E615" s="56"/>
      <c r="F615" s="56"/>
      <c r="G615" s="56"/>
      <c r="H615" s="56"/>
      <c r="I615" s="56"/>
      <c r="J615" s="56"/>
      <c r="K615" s="56"/>
      <c r="L615" s="56"/>
      <c r="M615" s="56"/>
      <c r="N615" s="56"/>
      <c r="O615" s="56"/>
      <c r="P615" s="56"/>
    </row>
    <row r="616" spans="1:16">
      <c r="A616" s="56"/>
      <c r="B616" s="56"/>
      <c r="C616" s="56"/>
      <c r="D616" s="56"/>
      <c r="E616" s="56"/>
      <c r="F616" s="56"/>
      <c r="G616" s="56"/>
      <c r="H616" s="56"/>
      <c r="I616" s="56"/>
      <c r="J616" s="56"/>
      <c r="K616" s="56"/>
      <c r="L616" s="56"/>
      <c r="M616" s="56"/>
      <c r="N616" s="56"/>
      <c r="O616" s="56"/>
      <c r="P616" s="56"/>
    </row>
    <row r="617" spans="1:16">
      <c r="A617" s="56"/>
      <c r="B617" s="56"/>
      <c r="C617" s="56"/>
      <c r="D617" s="56"/>
      <c r="E617" s="56"/>
      <c r="F617" s="56"/>
      <c r="G617" s="56"/>
      <c r="H617" s="56"/>
      <c r="I617" s="56"/>
      <c r="J617" s="56"/>
      <c r="K617" s="56"/>
      <c r="L617" s="56"/>
      <c r="M617" s="56"/>
      <c r="N617" s="56"/>
      <c r="O617" s="56"/>
      <c r="P617" s="56"/>
    </row>
    <row r="618" spans="1:16">
      <c r="A618" s="56"/>
      <c r="B618" s="56"/>
      <c r="C618" s="56"/>
      <c r="D618" s="56"/>
      <c r="E618" s="56"/>
      <c r="F618" s="56"/>
      <c r="G618" s="56"/>
      <c r="H618" s="56"/>
      <c r="I618" s="56"/>
      <c r="J618" s="56"/>
      <c r="K618" s="56"/>
      <c r="L618" s="56"/>
      <c r="M618" s="56"/>
      <c r="N618" s="56"/>
      <c r="O618" s="56"/>
      <c r="P618" s="56"/>
    </row>
    <row r="619" spans="1:16">
      <c r="A619" s="56"/>
      <c r="B619" s="56"/>
      <c r="C619" s="56"/>
      <c r="D619" s="56"/>
      <c r="E619" s="56"/>
      <c r="F619" s="56"/>
      <c r="G619" s="56"/>
      <c r="H619" s="56"/>
      <c r="I619" s="56"/>
      <c r="J619" s="56"/>
      <c r="K619" s="56"/>
      <c r="L619" s="56"/>
      <c r="M619" s="56"/>
      <c r="N619" s="56"/>
      <c r="O619" s="56"/>
      <c r="P619" s="56"/>
    </row>
    <row r="620" spans="1:16">
      <c r="A620" s="56"/>
      <c r="B620" s="56"/>
      <c r="C620" s="56"/>
      <c r="D620" s="56"/>
      <c r="E620" s="56"/>
      <c r="F620" s="56"/>
      <c r="G620" s="56"/>
      <c r="H620" s="56"/>
      <c r="I620" s="56"/>
      <c r="J620" s="56"/>
      <c r="K620" s="56"/>
      <c r="L620" s="56"/>
      <c r="M620" s="56"/>
      <c r="N620" s="56"/>
      <c r="O620" s="56"/>
      <c r="P620" s="56"/>
    </row>
    <row r="621" spans="1:16">
      <c r="A621" s="56"/>
      <c r="B621" s="56"/>
      <c r="C621" s="56"/>
      <c r="D621" s="56"/>
      <c r="E621" s="56"/>
      <c r="F621" s="56"/>
      <c r="G621" s="56"/>
      <c r="H621" s="56"/>
      <c r="I621" s="56"/>
      <c r="J621" s="56"/>
      <c r="K621" s="56"/>
      <c r="L621" s="56"/>
      <c r="M621" s="56"/>
      <c r="N621" s="56"/>
      <c r="O621" s="56"/>
      <c r="P621" s="56"/>
    </row>
    <row r="622" spans="1:16">
      <c r="A622" s="56"/>
      <c r="B622" s="56"/>
      <c r="C622" s="56"/>
      <c r="D622" s="56"/>
      <c r="E622" s="56"/>
      <c r="F622" s="56"/>
      <c r="G622" s="56"/>
      <c r="H622" s="56"/>
      <c r="I622" s="56"/>
      <c r="J622" s="56"/>
      <c r="K622" s="56"/>
      <c r="L622" s="56"/>
      <c r="M622" s="56"/>
      <c r="N622" s="56"/>
      <c r="O622" s="56"/>
      <c r="P622" s="56"/>
    </row>
    <row r="623" spans="1:16">
      <c r="A623" s="56"/>
      <c r="B623" s="56"/>
      <c r="C623" s="56"/>
      <c r="D623" s="56"/>
      <c r="E623" s="56"/>
      <c r="F623" s="56"/>
      <c r="G623" s="56"/>
      <c r="H623" s="56"/>
      <c r="I623" s="56"/>
      <c r="J623" s="56"/>
      <c r="K623" s="56"/>
      <c r="L623" s="56"/>
      <c r="M623" s="56"/>
      <c r="N623" s="56"/>
      <c r="O623" s="56"/>
      <c r="P623" s="56"/>
    </row>
    <row r="624" spans="1:16">
      <c r="A624" s="56"/>
      <c r="B624" s="56"/>
      <c r="C624" s="56"/>
      <c r="D624" s="56"/>
      <c r="E624" s="56"/>
      <c r="F624" s="56"/>
      <c r="G624" s="56"/>
      <c r="H624" s="56"/>
      <c r="I624" s="56"/>
      <c r="J624" s="56"/>
      <c r="K624" s="56"/>
      <c r="L624" s="56"/>
      <c r="M624" s="56"/>
      <c r="N624" s="56"/>
      <c r="O624" s="56"/>
      <c r="P624" s="56"/>
    </row>
    <row r="625" spans="1:16">
      <c r="A625" s="56"/>
      <c r="B625" s="56"/>
      <c r="C625" s="56"/>
      <c r="D625" s="56"/>
      <c r="E625" s="56"/>
      <c r="F625" s="56"/>
      <c r="G625" s="56"/>
      <c r="H625" s="56"/>
      <c r="I625" s="56"/>
      <c r="J625" s="56"/>
      <c r="K625" s="56"/>
      <c r="L625" s="56"/>
      <c r="M625" s="56"/>
      <c r="N625" s="56"/>
      <c r="O625" s="56"/>
      <c r="P625" s="56"/>
    </row>
    <row r="626" spans="1:16">
      <c r="A626" s="56"/>
      <c r="B626" s="56"/>
      <c r="C626" s="56"/>
      <c r="D626" s="56"/>
      <c r="E626" s="56"/>
      <c r="F626" s="56"/>
      <c r="G626" s="56"/>
      <c r="H626" s="56"/>
      <c r="I626" s="56"/>
      <c r="J626" s="56"/>
      <c r="K626" s="56"/>
      <c r="L626" s="56"/>
      <c r="M626" s="56"/>
      <c r="N626" s="56"/>
      <c r="O626" s="56"/>
      <c r="P626" s="56"/>
    </row>
    <row r="627" spans="1:16">
      <c r="A627" s="56"/>
      <c r="B627" s="56"/>
      <c r="C627" s="56"/>
      <c r="D627" s="56"/>
      <c r="E627" s="56"/>
      <c r="F627" s="56"/>
      <c r="G627" s="56"/>
      <c r="H627" s="56"/>
      <c r="I627" s="56"/>
      <c r="J627" s="56"/>
      <c r="K627" s="56"/>
      <c r="L627" s="56"/>
      <c r="M627" s="56"/>
      <c r="N627" s="56"/>
      <c r="O627" s="56"/>
      <c r="P627" s="56"/>
    </row>
    <row r="628" spans="1:16">
      <c r="A628" s="56"/>
      <c r="B628" s="56"/>
      <c r="C628" s="56"/>
      <c r="D628" s="56"/>
      <c r="E628" s="56"/>
      <c r="F628" s="56"/>
      <c r="G628" s="56"/>
      <c r="H628" s="56"/>
      <c r="I628" s="56"/>
      <c r="J628" s="56"/>
      <c r="K628" s="56"/>
      <c r="L628" s="56"/>
      <c r="M628" s="56"/>
      <c r="N628" s="56"/>
      <c r="O628" s="56"/>
      <c r="P628" s="56"/>
    </row>
    <row r="629" spans="1:16">
      <c r="A629" s="56"/>
      <c r="B629" s="56"/>
      <c r="C629" s="56"/>
      <c r="D629" s="56"/>
      <c r="E629" s="56"/>
      <c r="F629" s="56"/>
      <c r="G629" s="56"/>
      <c r="H629" s="56"/>
      <c r="I629" s="56"/>
      <c r="J629" s="56"/>
      <c r="K629" s="56"/>
      <c r="L629" s="56"/>
      <c r="M629" s="56"/>
      <c r="N629" s="56"/>
      <c r="O629" s="56"/>
      <c r="P629" s="56"/>
    </row>
    <row r="630" spans="1:16">
      <c r="A630" s="56"/>
      <c r="B630" s="56"/>
      <c r="C630" s="56"/>
      <c r="D630" s="56"/>
      <c r="E630" s="56"/>
      <c r="F630" s="56"/>
      <c r="G630" s="56"/>
      <c r="H630" s="56"/>
      <c r="I630" s="56"/>
      <c r="J630" s="56"/>
      <c r="K630" s="56"/>
      <c r="L630" s="56"/>
      <c r="M630" s="56"/>
      <c r="N630" s="56"/>
      <c r="O630" s="56"/>
      <c r="P630" s="56"/>
    </row>
    <row r="631" spans="1:16">
      <c r="A631" s="56"/>
      <c r="B631" s="56"/>
      <c r="C631" s="56"/>
      <c r="D631" s="56"/>
      <c r="E631" s="56"/>
      <c r="F631" s="56"/>
      <c r="G631" s="56"/>
      <c r="H631" s="56"/>
      <c r="I631" s="56"/>
      <c r="J631" s="56"/>
      <c r="K631" s="56"/>
      <c r="L631" s="56"/>
      <c r="M631" s="56"/>
      <c r="N631" s="56"/>
      <c r="O631" s="56"/>
      <c r="P631" s="56"/>
    </row>
    <row r="632" spans="1:16">
      <c r="A632" s="56"/>
      <c r="B632" s="56"/>
      <c r="C632" s="56"/>
      <c r="D632" s="56"/>
      <c r="E632" s="56"/>
      <c r="F632" s="56"/>
      <c r="G632" s="56"/>
      <c r="H632" s="56"/>
      <c r="I632" s="56"/>
      <c r="J632" s="56"/>
      <c r="K632" s="56"/>
      <c r="L632" s="56"/>
      <c r="M632" s="56"/>
      <c r="N632" s="56"/>
      <c r="O632" s="56"/>
      <c r="P632" s="56"/>
    </row>
    <row r="633" spans="1:16">
      <c r="A633" s="56"/>
      <c r="B633" s="56"/>
      <c r="C633" s="56"/>
      <c r="D633" s="56"/>
      <c r="E633" s="56"/>
      <c r="F633" s="56"/>
      <c r="G633" s="56"/>
      <c r="H633" s="56"/>
      <c r="I633" s="56"/>
      <c r="J633" s="56"/>
      <c r="K633" s="56"/>
      <c r="L633" s="56"/>
      <c r="M633" s="56"/>
      <c r="N633" s="56"/>
      <c r="O633" s="56"/>
      <c r="P633" s="56"/>
    </row>
    <row r="634" spans="1:16">
      <c r="A634" s="56"/>
      <c r="B634" s="56"/>
      <c r="C634" s="56"/>
      <c r="D634" s="56"/>
      <c r="E634" s="56"/>
      <c r="F634" s="56"/>
      <c r="G634" s="56"/>
      <c r="H634" s="56"/>
      <c r="I634" s="56"/>
      <c r="J634" s="56"/>
      <c r="K634" s="56"/>
      <c r="L634" s="56"/>
      <c r="M634" s="56"/>
      <c r="N634" s="56"/>
      <c r="O634" s="56"/>
      <c r="P634" s="56"/>
    </row>
    <row r="635" spans="1:16">
      <c r="A635" s="56"/>
      <c r="B635" s="56"/>
      <c r="C635" s="56"/>
      <c r="D635" s="56"/>
      <c r="E635" s="56"/>
      <c r="F635" s="56"/>
      <c r="G635" s="56"/>
      <c r="H635" s="56"/>
      <c r="I635" s="56"/>
      <c r="J635" s="56"/>
      <c r="K635" s="56"/>
      <c r="L635" s="56"/>
      <c r="M635" s="56"/>
      <c r="N635" s="56"/>
      <c r="O635" s="56"/>
      <c r="P635" s="56"/>
    </row>
    <row r="636" spans="1:16">
      <c r="A636" s="56"/>
      <c r="B636" s="56"/>
      <c r="C636" s="56"/>
      <c r="D636" s="56"/>
      <c r="E636" s="56"/>
      <c r="F636" s="56"/>
      <c r="G636" s="56"/>
      <c r="H636" s="56"/>
      <c r="I636" s="56"/>
      <c r="J636" s="56"/>
      <c r="K636" s="56"/>
      <c r="L636" s="56"/>
      <c r="M636" s="56"/>
      <c r="N636" s="56"/>
      <c r="O636" s="56"/>
      <c r="P636" s="56"/>
    </row>
    <row r="637" spans="1:16">
      <c r="A637" s="56"/>
      <c r="B637" s="56"/>
      <c r="C637" s="56"/>
      <c r="D637" s="56"/>
      <c r="E637" s="56"/>
      <c r="F637" s="56"/>
      <c r="G637" s="56"/>
      <c r="H637" s="56"/>
      <c r="I637" s="56"/>
      <c r="J637" s="56"/>
      <c r="K637" s="56"/>
      <c r="L637" s="56"/>
      <c r="M637" s="56"/>
      <c r="N637" s="56"/>
      <c r="O637" s="56"/>
      <c r="P637" s="56"/>
    </row>
    <row r="638" spans="1:16">
      <c r="A638" s="56"/>
      <c r="B638" s="56"/>
      <c r="C638" s="56"/>
      <c r="D638" s="56"/>
      <c r="E638" s="56"/>
      <c r="F638" s="56"/>
      <c r="G638" s="56"/>
      <c r="H638" s="56"/>
      <c r="I638" s="56"/>
      <c r="J638" s="56"/>
      <c r="K638" s="56"/>
      <c r="L638" s="56"/>
      <c r="M638" s="56"/>
      <c r="N638" s="56"/>
      <c r="O638" s="56"/>
      <c r="P638" s="56"/>
    </row>
    <row r="639" spans="1:16">
      <c r="A639" s="56"/>
      <c r="B639" s="56"/>
      <c r="C639" s="56"/>
      <c r="D639" s="56"/>
      <c r="E639" s="56"/>
      <c r="F639" s="56"/>
      <c r="G639" s="56"/>
      <c r="H639" s="56"/>
      <c r="I639" s="56"/>
      <c r="J639" s="56"/>
      <c r="K639" s="56"/>
      <c r="L639" s="56"/>
      <c r="M639" s="56"/>
      <c r="N639" s="56"/>
      <c r="O639" s="56"/>
      <c r="P639" s="56"/>
    </row>
    <row r="640" spans="1:16">
      <c r="A640" s="56"/>
      <c r="B640" s="56"/>
      <c r="C640" s="56"/>
      <c r="D640" s="56"/>
      <c r="E640" s="56"/>
      <c r="F640" s="56"/>
      <c r="G640" s="56"/>
      <c r="H640" s="56"/>
      <c r="I640" s="56"/>
      <c r="J640" s="56"/>
      <c r="K640" s="56"/>
      <c r="L640" s="56"/>
      <c r="M640" s="56"/>
      <c r="N640" s="56"/>
      <c r="O640" s="56"/>
      <c r="P640" s="56"/>
    </row>
    <row r="641" spans="1:16">
      <c r="A641" s="56"/>
      <c r="B641" s="56"/>
      <c r="C641" s="56"/>
      <c r="D641" s="56"/>
      <c r="E641" s="56"/>
      <c r="F641" s="56"/>
      <c r="G641" s="56"/>
      <c r="H641" s="56"/>
      <c r="I641" s="56"/>
      <c r="J641" s="56"/>
      <c r="K641" s="56"/>
      <c r="L641" s="56"/>
      <c r="M641" s="56"/>
      <c r="N641" s="56"/>
      <c r="O641" s="56"/>
      <c r="P641" s="56"/>
    </row>
    <row r="642" spans="1:16">
      <c r="A642" s="56"/>
      <c r="B642" s="56"/>
      <c r="C642" s="56"/>
      <c r="D642" s="56"/>
      <c r="E642" s="56"/>
      <c r="F642" s="56"/>
      <c r="G642" s="56"/>
      <c r="H642" s="56"/>
      <c r="I642" s="56"/>
      <c r="J642" s="56"/>
      <c r="K642" s="56"/>
      <c r="L642" s="56"/>
      <c r="M642" s="56"/>
      <c r="N642" s="56"/>
      <c r="O642" s="56"/>
      <c r="P642" s="56"/>
    </row>
    <row r="643" spans="1:16">
      <c r="A643" s="56"/>
      <c r="B643" s="56"/>
      <c r="C643" s="56"/>
      <c r="D643" s="56"/>
      <c r="E643" s="56"/>
      <c r="F643" s="56"/>
      <c r="G643" s="56"/>
      <c r="H643" s="56"/>
      <c r="I643" s="56"/>
      <c r="J643" s="56"/>
      <c r="K643" s="56"/>
      <c r="L643" s="56"/>
      <c r="M643" s="56"/>
      <c r="N643" s="56"/>
      <c r="O643" s="56"/>
      <c r="P643" s="56"/>
    </row>
    <row r="644" spans="1:16">
      <c r="A644" s="56"/>
      <c r="B644" s="56"/>
      <c r="C644" s="56"/>
      <c r="D644" s="56"/>
      <c r="E644" s="56"/>
      <c r="F644" s="56"/>
      <c r="G644" s="56"/>
      <c r="H644" s="56"/>
      <c r="I644" s="56"/>
      <c r="J644" s="56"/>
      <c r="K644" s="56"/>
      <c r="L644" s="56"/>
      <c r="M644" s="56"/>
      <c r="N644" s="56"/>
      <c r="O644" s="56"/>
      <c r="P644" s="56"/>
    </row>
    <row r="645" spans="1:16">
      <c r="A645" s="56"/>
      <c r="B645" s="56"/>
      <c r="C645" s="56"/>
      <c r="D645" s="56"/>
      <c r="E645" s="56"/>
      <c r="F645" s="56"/>
      <c r="G645" s="56"/>
      <c r="H645" s="56"/>
      <c r="I645" s="56"/>
      <c r="J645" s="56"/>
      <c r="K645" s="56"/>
      <c r="L645" s="56"/>
      <c r="M645" s="56"/>
      <c r="N645" s="56"/>
      <c r="O645" s="56"/>
      <c r="P645" s="56"/>
    </row>
    <row r="646" spans="1:16">
      <c r="A646" s="56"/>
      <c r="B646" s="56"/>
      <c r="C646" s="56"/>
      <c r="D646" s="56"/>
      <c r="E646" s="56"/>
      <c r="F646" s="56"/>
      <c r="G646" s="56"/>
      <c r="H646" s="56"/>
      <c r="I646" s="56"/>
      <c r="J646" s="56"/>
      <c r="K646" s="56"/>
      <c r="L646" s="56"/>
      <c r="M646" s="56"/>
      <c r="N646" s="56"/>
      <c r="O646" s="56"/>
      <c r="P646" s="56"/>
    </row>
    <row r="647" spans="1:16">
      <c r="A647" s="56"/>
      <c r="B647" s="56"/>
      <c r="C647" s="56"/>
      <c r="D647" s="56"/>
      <c r="E647" s="56"/>
      <c r="F647" s="56"/>
      <c r="G647" s="56"/>
      <c r="H647" s="56"/>
      <c r="I647" s="56"/>
      <c r="J647" s="56"/>
      <c r="K647" s="56"/>
      <c r="L647" s="56"/>
      <c r="M647" s="56"/>
      <c r="N647" s="56"/>
      <c r="O647" s="56"/>
      <c r="P647" s="56"/>
    </row>
    <row r="648" spans="1:16">
      <c r="A648" s="56"/>
      <c r="B648" s="56"/>
      <c r="C648" s="56"/>
      <c r="D648" s="56"/>
      <c r="E648" s="56"/>
      <c r="F648" s="56"/>
      <c r="G648" s="56"/>
      <c r="H648" s="56"/>
      <c r="I648" s="56"/>
      <c r="J648" s="56"/>
      <c r="K648" s="56"/>
      <c r="L648" s="56"/>
      <c r="M648" s="56"/>
      <c r="N648" s="56"/>
      <c r="O648" s="56"/>
      <c r="P648" s="56"/>
    </row>
    <row r="649" spans="1:16">
      <c r="A649" s="56"/>
      <c r="B649" s="56"/>
      <c r="C649" s="56"/>
      <c r="D649" s="56"/>
      <c r="E649" s="56"/>
      <c r="F649" s="56"/>
      <c r="G649" s="56"/>
      <c r="H649" s="56"/>
      <c r="I649" s="56"/>
      <c r="J649" s="56"/>
      <c r="K649" s="56"/>
      <c r="L649" s="56"/>
      <c r="M649" s="56"/>
      <c r="N649" s="56"/>
      <c r="O649" s="56"/>
      <c r="P649" s="56"/>
    </row>
    <row r="650" spans="1:16">
      <c r="A650" s="56"/>
      <c r="B650" s="56"/>
      <c r="C650" s="56"/>
      <c r="D650" s="56"/>
      <c r="E650" s="56"/>
      <c r="F650" s="56"/>
      <c r="G650" s="56"/>
      <c r="H650" s="56"/>
      <c r="I650" s="56"/>
      <c r="J650" s="56"/>
      <c r="K650" s="56"/>
      <c r="L650" s="56"/>
      <c r="M650" s="56"/>
      <c r="N650" s="56"/>
      <c r="O650" s="56"/>
      <c r="P650" s="56"/>
    </row>
    <row r="651" spans="1:16">
      <c r="A651" s="56"/>
      <c r="B651" s="56"/>
      <c r="C651" s="56"/>
      <c r="D651" s="56"/>
      <c r="E651" s="56"/>
      <c r="F651" s="56"/>
      <c r="G651" s="56"/>
      <c r="H651" s="56"/>
      <c r="I651" s="56"/>
      <c r="J651" s="56"/>
      <c r="K651" s="56"/>
      <c r="L651" s="56"/>
      <c r="M651" s="56"/>
      <c r="N651" s="56"/>
      <c r="O651" s="56"/>
      <c r="P651" s="56"/>
    </row>
    <row r="652" spans="1:16">
      <c r="A652" s="56"/>
      <c r="B652" s="56"/>
      <c r="C652" s="56"/>
      <c r="D652" s="56"/>
      <c r="E652" s="56"/>
      <c r="F652" s="56"/>
      <c r="G652" s="56"/>
      <c r="H652" s="56"/>
      <c r="I652" s="56"/>
      <c r="J652" s="56"/>
      <c r="K652" s="56"/>
      <c r="L652" s="56"/>
      <c r="M652" s="56"/>
      <c r="N652" s="56"/>
      <c r="O652" s="56"/>
      <c r="P652" s="56"/>
    </row>
    <row r="653" spans="1:16">
      <c r="A653" s="56"/>
      <c r="B653" s="56"/>
      <c r="C653" s="56"/>
      <c r="D653" s="56"/>
      <c r="E653" s="56"/>
      <c r="F653" s="56"/>
      <c r="G653" s="56"/>
      <c r="H653" s="56"/>
      <c r="I653" s="56"/>
      <c r="J653" s="56"/>
      <c r="K653" s="56"/>
      <c r="L653" s="56"/>
      <c r="M653" s="56"/>
      <c r="N653" s="56"/>
      <c r="O653" s="56"/>
      <c r="P653" s="56"/>
    </row>
    <row r="654" spans="1:16">
      <c r="A654" s="56"/>
      <c r="B654" s="56"/>
      <c r="C654" s="56"/>
      <c r="D654" s="56"/>
      <c r="E654" s="56"/>
      <c r="F654" s="56"/>
      <c r="G654" s="56"/>
      <c r="H654" s="56"/>
      <c r="I654" s="56"/>
      <c r="J654" s="56"/>
      <c r="K654" s="56"/>
      <c r="L654" s="56"/>
      <c r="M654" s="56"/>
      <c r="N654" s="56"/>
      <c r="O654" s="56"/>
      <c r="P654" s="56"/>
    </row>
    <row r="655" spans="1:16">
      <c r="A655" s="56"/>
      <c r="B655" s="56"/>
      <c r="C655" s="56"/>
      <c r="D655" s="56"/>
      <c r="E655" s="56"/>
      <c r="F655" s="56"/>
      <c r="G655" s="56"/>
      <c r="H655" s="56"/>
      <c r="I655" s="56"/>
      <c r="J655" s="56"/>
      <c r="K655" s="56"/>
      <c r="L655" s="56"/>
      <c r="M655" s="56"/>
      <c r="N655" s="56"/>
      <c r="O655" s="56"/>
      <c r="P655" s="56"/>
    </row>
    <row r="656" spans="1:16">
      <c r="A656" s="56"/>
      <c r="B656" s="56"/>
      <c r="C656" s="56"/>
      <c r="D656" s="56"/>
      <c r="E656" s="56"/>
      <c r="F656" s="56"/>
      <c r="G656" s="56"/>
      <c r="H656" s="56"/>
      <c r="I656" s="56"/>
      <c r="J656" s="56"/>
      <c r="K656" s="56"/>
      <c r="L656" s="56"/>
      <c r="M656" s="56"/>
      <c r="N656" s="56"/>
      <c r="O656" s="56"/>
      <c r="P656" s="56"/>
    </row>
    <row r="657" spans="1:16">
      <c r="A657" s="56"/>
      <c r="B657" s="56"/>
      <c r="C657" s="56"/>
      <c r="D657" s="56"/>
      <c r="E657" s="56"/>
      <c r="F657" s="56"/>
      <c r="G657" s="56"/>
      <c r="H657" s="56"/>
      <c r="I657" s="56"/>
      <c r="J657" s="56"/>
      <c r="K657" s="56"/>
      <c r="L657" s="56"/>
      <c r="M657" s="56"/>
      <c r="N657" s="56"/>
      <c r="O657" s="56"/>
      <c r="P657" s="56"/>
    </row>
    <row r="658" spans="1:16">
      <c r="A658" s="56"/>
      <c r="B658" s="56"/>
      <c r="C658" s="56"/>
      <c r="D658" s="56"/>
      <c r="E658" s="56"/>
      <c r="F658" s="56"/>
      <c r="G658" s="56"/>
      <c r="H658" s="56"/>
      <c r="I658" s="56"/>
      <c r="J658" s="56"/>
      <c r="K658" s="56"/>
      <c r="L658" s="56"/>
      <c r="M658" s="56"/>
      <c r="N658" s="56"/>
      <c r="O658" s="56"/>
      <c r="P658" s="56"/>
    </row>
    <row r="659" spans="1:16">
      <c r="A659" s="56"/>
      <c r="B659" s="56"/>
      <c r="C659" s="56"/>
      <c r="D659" s="56"/>
      <c r="E659" s="56"/>
      <c r="F659" s="56"/>
      <c r="G659" s="56"/>
      <c r="H659" s="56"/>
      <c r="I659" s="56"/>
      <c r="J659" s="56"/>
      <c r="K659" s="56"/>
      <c r="L659" s="56"/>
      <c r="M659" s="56"/>
      <c r="N659" s="56"/>
      <c r="O659" s="56"/>
      <c r="P659" s="56"/>
    </row>
    <row r="660" spans="1:16">
      <c r="A660" s="56"/>
      <c r="B660" s="56"/>
      <c r="C660" s="56"/>
      <c r="D660" s="56"/>
      <c r="E660" s="56"/>
      <c r="F660" s="56"/>
      <c r="G660" s="56"/>
      <c r="H660" s="56"/>
      <c r="I660" s="56"/>
      <c r="J660" s="56"/>
      <c r="K660" s="56"/>
      <c r="L660" s="56"/>
      <c r="M660" s="56"/>
      <c r="N660" s="56"/>
      <c r="O660" s="56"/>
      <c r="P660" s="56"/>
    </row>
    <row r="661" spans="1:16">
      <c r="A661" s="56"/>
      <c r="B661" s="56"/>
      <c r="C661" s="56"/>
      <c r="D661" s="56"/>
      <c r="E661" s="56"/>
      <c r="F661" s="56"/>
      <c r="G661" s="56"/>
      <c r="H661" s="56"/>
      <c r="I661" s="56"/>
      <c r="J661" s="56"/>
      <c r="K661" s="56"/>
      <c r="L661" s="56"/>
      <c r="M661" s="56"/>
      <c r="N661" s="56"/>
      <c r="O661" s="56"/>
      <c r="P661" s="56"/>
    </row>
    <row r="662" spans="1:16">
      <c r="A662" s="56"/>
      <c r="B662" s="56"/>
      <c r="C662" s="56"/>
      <c r="D662" s="56"/>
      <c r="E662" s="56"/>
      <c r="F662" s="56"/>
      <c r="G662" s="56"/>
      <c r="H662" s="56"/>
      <c r="I662" s="56"/>
      <c r="J662" s="56"/>
      <c r="K662" s="56"/>
      <c r="L662" s="56"/>
      <c r="M662" s="56"/>
      <c r="N662" s="56"/>
      <c r="O662" s="56"/>
      <c r="P662" s="56"/>
    </row>
    <row r="663" spans="1:16">
      <c r="A663" s="56"/>
      <c r="B663" s="56"/>
      <c r="C663" s="56"/>
      <c r="D663" s="56"/>
      <c r="E663" s="56"/>
      <c r="F663" s="56"/>
      <c r="G663" s="56"/>
      <c r="H663" s="56"/>
      <c r="I663" s="56"/>
      <c r="J663" s="56"/>
      <c r="K663" s="56"/>
      <c r="L663" s="56"/>
      <c r="M663" s="56"/>
      <c r="N663" s="56"/>
      <c r="O663" s="56"/>
      <c r="P663" s="56"/>
    </row>
    <row r="664" spans="1:16">
      <c r="A664" s="56"/>
      <c r="B664" s="56"/>
      <c r="C664" s="56"/>
      <c r="D664" s="56"/>
      <c r="E664" s="56"/>
      <c r="F664" s="56"/>
      <c r="G664" s="56"/>
      <c r="H664" s="56"/>
      <c r="I664" s="56"/>
      <c r="J664" s="56"/>
      <c r="K664" s="56"/>
      <c r="L664" s="56"/>
      <c r="M664" s="56"/>
      <c r="N664" s="56"/>
      <c r="O664" s="56"/>
      <c r="P664" s="56"/>
    </row>
    <row r="665" spans="1:16">
      <c r="A665" s="56"/>
      <c r="B665" s="56"/>
      <c r="C665" s="56"/>
      <c r="D665" s="56"/>
      <c r="E665" s="56"/>
      <c r="F665" s="56"/>
      <c r="G665" s="56"/>
      <c r="H665" s="56"/>
      <c r="I665" s="56"/>
      <c r="J665" s="56"/>
      <c r="K665" s="56"/>
      <c r="L665" s="56"/>
      <c r="M665" s="56"/>
      <c r="N665" s="56"/>
      <c r="O665" s="56"/>
      <c r="P665" s="56"/>
    </row>
    <row r="666" spans="1:16">
      <c r="A666" s="56"/>
      <c r="B666" s="56"/>
      <c r="C666" s="56"/>
      <c r="D666" s="56"/>
      <c r="E666" s="56"/>
      <c r="F666" s="56"/>
      <c r="G666" s="56"/>
      <c r="H666" s="56"/>
      <c r="I666" s="56"/>
      <c r="J666" s="56"/>
      <c r="K666" s="56"/>
      <c r="L666" s="56"/>
      <c r="M666" s="56"/>
      <c r="N666" s="56"/>
      <c r="O666" s="56"/>
      <c r="P666" s="56"/>
    </row>
    <row r="667" spans="1:16">
      <c r="A667" s="56"/>
      <c r="B667" s="56"/>
      <c r="C667" s="56"/>
      <c r="D667" s="56"/>
      <c r="E667" s="56"/>
      <c r="F667" s="56"/>
      <c r="G667" s="56"/>
      <c r="H667" s="56"/>
      <c r="I667" s="56"/>
      <c r="J667" s="56"/>
      <c r="K667" s="56"/>
      <c r="L667" s="56"/>
      <c r="M667" s="56"/>
      <c r="N667" s="56"/>
      <c r="O667" s="56"/>
      <c r="P667" s="56"/>
    </row>
    <row r="668" spans="1:16">
      <c r="A668" s="56"/>
      <c r="B668" s="56"/>
      <c r="C668" s="56"/>
      <c r="D668" s="56"/>
      <c r="E668" s="56"/>
      <c r="F668" s="56"/>
      <c r="G668" s="56"/>
      <c r="H668" s="56"/>
      <c r="I668" s="56"/>
      <c r="J668" s="56"/>
      <c r="K668" s="56"/>
      <c r="L668" s="56"/>
      <c r="M668" s="56"/>
      <c r="N668" s="56"/>
      <c r="O668" s="56"/>
      <c r="P668" s="56"/>
    </row>
    <row r="669" spans="1:16">
      <c r="A669" s="56"/>
      <c r="B669" s="56"/>
      <c r="C669" s="56"/>
      <c r="D669" s="56"/>
      <c r="E669" s="56"/>
      <c r="F669" s="56"/>
      <c r="G669" s="56"/>
      <c r="H669" s="56"/>
      <c r="I669" s="56"/>
      <c r="J669" s="56"/>
      <c r="K669" s="56"/>
      <c r="L669" s="56"/>
      <c r="M669" s="56"/>
      <c r="N669" s="56"/>
      <c r="O669" s="56"/>
      <c r="P669" s="56"/>
    </row>
    <row r="670" spans="1:16">
      <c r="A670" s="56"/>
      <c r="B670" s="56"/>
      <c r="C670" s="56"/>
      <c r="D670" s="56"/>
      <c r="E670" s="56"/>
      <c r="F670" s="56"/>
      <c r="G670" s="56"/>
      <c r="H670" s="56"/>
      <c r="I670" s="56"/>
      <c r="J670" s="56"/>
      <c r="K670" s="56"/>
      <c r="L670" s="56"/>
      <c r="M670" s="56"/>
      <c r="N670" s="56"/>
      <c r="O670" s="56"/>
      <c r="P670" s="56"/>
    </row>
    <row r="671" spans="1:16">
      <c r="A671" s="56"/>
      <c r="B671" s="56"/>
      <c r="C671" s="56"/>
      <c r="D671" s="56"/>
      <c r="E671" s="56"/>
      <c r="F671" s="56"/>
      <c r="G671" s="56"/>
      <c r="H671" s="56"/>
      <c r="I671" s="56"/>
      <c r="J671" s="56"/>
      <c r="K671" s="56"/>
      <c r="L671" s="56"/>
      <c r="M671" s="56"/>
      <c r="N671" s="56"/>
      <c r="O671" s="56"/>
      <c r="P671" s="56"/>
    </row>
    <row r="672" spans="1:16">
      <c r="A672" s="56"/>
      <c r="B672" s="56"/>
      <c r="C672" s="56"/>
      <c r="D672" s="56"/>
      <c r="E672" s="56"/>
      <c r="F672" s="56"/>
      <c r="G672" s="56"/>
      <c r="H672" s="56"/>
      <c r="I672" s="56"/>
      <c r="J672" s="56"/>
      <c r="K672" s="56"/>
      <c r="L672" s="56"/>
      <c r="M672" s="56"/>
      <c r="N672" s="56"/>
      <c r="O672" s="56"/>
      <c r="P672" s="56"/>
    </row>
    <row r="673" spans="1:16">
      <c r="A673" s="56"/>
      <c r="B673" s="56"/>
      <c r="C673" s="56"/>
      <c r="D673" s="56"/>
      <c r="E673" s="56"/>
      <c r="F673" s="56"/>
      <c r="G673" s="56"/>
      <c r="H673" s="56"/>
      <c r="I673" s="56"/>
      <c r="J673" s="56"/>
      <c r="K673" s="56"/>
      <c r="L673" s="56"/>
      <c r="M673" s="56"/>
      <c r="N673" s="56"/>
      <c r="O673" s="56"/>
      <c r="P673" s="56"/>
    </row>
    <row r="674" spans="1:16">
      <c r="A674" s="56"/>
      <c r="B674" s="56"/>
      <c r="C674" s="56"/>
      <c r="D674" s="56"/>
      <c r="E674" s="56"/>
      <c r="F674" s="56"/>
      <c r="G674" s="56"/>
      <c r="H674" s="56"/>
      <c r="I674" s="56"/>
      <c r="J674" s="56"/>
      <c r="K674" s="56"/>
      <c r="L674" s="56"/>
      <c r="M674" s="56"/>
      <c r="N674" s="56"/>
      <c r="O674" s="56"/>
      <c r="P674" s="56"/>
    </row>
    <row r="675" spans="1:16">
      <c r="A675" s="56"/>
      <c r="B675" s="56"/>
      <c r="C675" s="56"/>
      <c r="D675" s="56"/>
      <c r="E675" s="56"/>
      <c r="F675" s="56"/>
      <c r="G675" s="56"/>
      <c r="H675" s="56"/>
      <c r="I675" s="56"/>
      <c r="J675" s="56"/>
      <c r="K675" s="56"/>
      <c r="L675" s="56"/>
      <c r="M675" s="56"/>
      <c r="N675" s="56"/>
      <c r="O675" s="56"/>
      <c r="P675" s="56"/>
    </row>
    <row r="676" spans="1:16">
      <c r="A676" s="56"/>
      <c r="B676" s="56"/>
      <c r="C676" s="56"/>
      <c r="D676" s="56"/>
      <c r="E676" s="56"/>
      <c r="F676" s="56"/>
      <c r="G676" s="56"/>
      <c r="H676" s="56"/>
      <c r="I676" s="56"/>
      <c r="J676" s="56"/>
      <c r="K676" s="56"/>
      <c r="L676" s="56"/>
      <c r="M676" s="56"/>
      <c r="N676" s="56"/>
      <c r="O676" s="56"/>
      <c r="P676" s="56"/>
    </row>
    <row r="677" spans="1:16">
      <c r="A677" s="56"/>
      <c r="B677" s="56"/>
      <c r="C677" s="56"/>
      <c r="D677" s="56"/>
      <c r="E677" s="56"/>
      <c r="F677" s="56"/>
      <c r="G677" s="56"/>
      <c r="H677" s="56"/>
      <c r="I677" s="56"/>
      <c r="J677" s="56"/>
      <c r="K677" s="56"/>
      <c r="L677" s="56"/>
      <c r="M677" s="56"/>
      <c r="N677" s="56"/>
      <c r="O677" s="56"/>
      <c r="P677" s="56"/>
    </row>
    <row r="678" spans="1:16">
      <c r="A678" s="56"/>
      <c r="B678" s="56"/>
      <c r="C678" s="56"/>
      <c r="D678" s="56"/>
      <c r="E678" s="56"/>
      <c r="F678" s="56"/>
      <c r="G678" s="56"/>
      <c r="H678" s="56"/>
      <c r="I678" s="56"/>
      <c r="J678" s="56"/>
      <c r="K678" s="56"/>
      <c r="L678" s="56"/>
      <c r="M678" s="56"/>
      <c r="N678" s="56"/>
      <c r="O678" s="56"/>
      <c r="P678" s="56"/>
    </row>
    <row r="679" spans="1:16">
      <c r="A679" s="56"/>
      <c r="B679" s="56"/>
      <c r="C679" s="56"/>
      <c r="D679" s="56"/>
      <c r="E679" s="56"/>
      <c r="F679" s="56"/>
      <c r="G679" s="56"/>
      <c r="H679" s="56"/>
      <c r="I679" s="56"/>
      <c r="J679" s="56"/>
      <c r="K679" s="56"/>
      <c r="L679" s="56"/>
      <c r="M679" s="56"/>
      <c r="N679" s="56"/>
      <c r="O679" s="56"/>
      <c r="P679" s="56"/>
    </row>
    <row r="680" spans="1:16">
      <c r="A680" s="56"/>
      <c r="B680" s="56"/>
      <c r="C680" s="56"/>
      <c r="D680" s="56"/>
      <c r="E680" s="56"/>
      <c r="F680" s="56"/>
      <c r="G680" s="56"/>
      <c r="H680" s="56"/>
      <c r="I680" s="56"/>
      <c r="J680" s="56"/>
      <c r="K680" s="56"/>
      <c r="L680" s="56"/>
      <c r="M680" s="56"/>
      <c r="N680" s="56"/>
      <c r="O680" s="56"/>
      <c r="P680" s="56"/>
    </row>
    <row r="681" spans="1:16">
      <c r="A681" s="56"/>
      <c r="B681" s="56"/>
      <c r="C681" s="56"/>
      <c r="D681" s="56"/>
      <c r="E681" s="56"/>
      <c r="F681" s="56"/>
      <c r="G681" s="56"/>
      <c r="H681" s="56"/>
      <c r="I681" s="56"/>
      <c r="J681" s="56"/>
      <c r="K681" s="56"/>
      <c r="L681" s="56"/>
      <c r="M681" s="56"/>
      <c r="N681" s="56"/>
      <c r="O681" s="56"/>
      <c r="P681" s="56"/>
    </row>
    <row r="682" spans="1:16">
      <c r="A682" s="56"/>
      <c r="B682" s="56"/>
      <c r="C682" s="56"/>
      <c r="D682" s="56"/>
      <c r="E682" s="56"/>
      <c r="F682" s="56"/>
      <c r="G682" s="56"/>
      <c r="H682" s="56"/>
      <c r="I682" s="56"/>
      <c r="J682" s="56"/>
      <c r="K682" s="56"/>
      <c r="L682" s="56"/>
      <c r="M682" s="56"/>
      <c r="N682" s="56"/>
      <c r="O682" s="56"/>
      <c r="P682" s="56"/>
    </row>
    <row r="683" spans="1:16">
      <c r="A683" s="56"/>
      <c r="B683" s="56"/>
      <c r="C683" s="56"/>
      <c r="D683" s="56"/>
      <c r="E683" s="56"/>
      <c r="F683" s="56"/>
      <c r="G683" s="56"/>
      <c r="H683" s="56"/>
      <c r="I683" s="56"/>
      <c r="J683" s="56"/>
      <c r="K683" s="56"/>
      <c r="L683" s="56"/>
      <c r="M683" s="56"/>
      <c r="N683" s="56"/>
      <c r="O683" s="56"/>
      <c r="P683" s="56"/>
    </row>
    <row r="684" spans="1:16">
      <c r="A684" s="56"/>
      <c r="B684" s="56"/>
      <c r="C684" s="56"/>
      <c r="D684" s="56"/>
      <c r="E684" s="56"/>
      <c r="F684" s="56"/>
      <c r="G684" s="56"/>
      <c r="H684" s="56"/>
      <c r="I684" s="56"/>
      <c r="J684" s="56"/>
      <c r="K684" s="56"/>
      <c r="L684" s="56"/>
      <c r="M684" s="56"/>
      <c r="N684" s="56"/>
      <c r="O684" s="56"/>
      <c r="P684" s="56"/>
    </row>
    <row r="685" spans="1:16">
      <c r="A685" s="56"/>
      <c r="B685" s="56"/>
      <c r="C685" s="56"/>
      <c r="D685" s="56"/>
      <c r="E685" s="56"/>
      <c r="F685" s="56"/>
      <c r="G685" s="56"/>
      <c r="H685" s="56"/>
      <c r="I685" s="56"/>
      <c r="J685" s="56"/>
      <c r="K685" s="56"/>
      <c r="L685" s="56"/>
      <c r="M685" s="56"/>
      <c r="N685" s="56"/>
      <c r="O685" s="56"/>
      <c r="P685" s="56"/>
    </row>
    <row r="686" spans="1:16">
      <c r="A686" s="56"/>
      <c r="B686" s="56"/>
      <c r="C686" s="56"/>
      <c r="D686" s="56"/>
      <c r="E686" s="56"/>
      <c r="F686" s="56"/>
      <c r="G686" s="56"/>
      <c r="H686" s="56"/>
      <c r="I686" s="56"/>
      <c r="J686" s="56"/>
      <c r="K686" s="56"/>
      <c r="L686" s="56"/>
      <c r="M686" s="56"/>
      <c r="N686" s="56"/>
      <c r="O686" s="56"/>
      <c r="P686" s="56"/>
    </row>
    <row r="687" spans="1:16">
      <c r="A687" s="56"/>
      <c r="B687" s="56"/>
      <c r="C687" s="56"/>
      <c r="D687" s="56"/>
      <c r="E687" s="56"/>
      <c r="F687" s="56"/>
      <c r="G687" s="56"/>
      <c r="H687" s="56"/>
      <c r="I687" s="56"/>
      <c r="J687" s="56"/>
      <c r="K687" s="56"/>
      <c r="L687" s="56"/>
      <c r="M687" s="56"/>
      <c r="N687" s="56"/>
      <c r="O687" s="56"/>
      <c r="P687" s="56"/>
    </row>
    <row r="688" spans="1:16">
      <c r="A688" s="56"/>
      <c r="B688" s="56"/>
      <c r="C688" s="56"/>
      <c r="D688" s="56"/>
      <c r="E688" s="56"/>
      <c r="F688" s="56"/>
      <c r="G688" s="56"/>
      <c r="H688" s="56"/>
      <c r="I688" s="56"/>
      <c r="J688" s="56"/>
      <c r="K688" s="56"/>
      <c r="L688" s="56"/>
      <c r="M688" s="56"/>
      <c r="N688" s="56"/>
      <c r="O688" s="56"/>
      <c r="P688" s="56"/>
    </row>
    <row r="689" spans="1:16">
      <c r="A689" s="56"/>
      <c r="B689" s="56"/>
      <c r="C689" s="56"/>
      <c r="D689" s="56"/>
      <c r="E689" s="56"/>
      <c r="F689" s="56"/>
      <c r="G689" s="56"/>
      <c r="H689" s="56"/>
      <c r="I689" s="56"/>
      <c r="J689" s="56"/>
      <c r="K689" s="56"/>
      <c r="L689" s="56"/>
      <c r="M689" s="56"/>
      <c r="N689" s="56"/>
      <c r="O689" s="56"/>
      <c r="P689" s="56"/>
    </row>
    <row r="690" spans="1:16">
      <c r="A690" s="56"/>
      <c r="B690" s="56"/>
      <c r="C690" s="56"/>
      <c r="D690" s="56"/>
      <c r="E690" s="56"/>
      <c r="F690" s="56"/>
      <c r="G690" s="56"/>
      <c r="H690" s="56"/>
      <c r="I690" s="56"/>
      <c r="J690" s="56"/>
      <c r="K690" s="56"/>
      <c r="L690" s="56"/>
      <c r="M690" s="56"/>
      <c r="N690" s="56"/>
      <c r="O690" s="56"/>
      <c r="P690" s="56"/>
    </row>
    <row r="691" spans="1:16">
      <c r="A691" s="56"/>
      <c r="B691" s="56"/>
      <c r="C691" s="56"/>
      <c r="D691" s="56"/>
      <c r="E691" s="56"/>
      <c r="F691" s="56"/>
      <c r="G691" s="56"/>
      <c r="H691" s="56"/>
      <c r="I691" s="56"/>
      <c r="J691" s="56"/>
      <c r="K691" s="56"/>
      <c r="L691" s="56"/>
      <c r="M691" s="56"/>
      <c r="N691" s="56"/>
      <c r="O691" s="56"/>
      <c r="P691" s="56"/>
    </row>
    <row r="692" spans="1:16">
      <c r="A692" s="56"/>
      <c r="B692" s="56"/>
      <c r="C692" s="56"/>
      <c r="D692" s="56"/>
      <c r="E692" s="56"/>
      <c r="F692" s="56"/>
      <c r="G692" s="56"/>
      <c r="H692" s="56"/>
      <c r="I692" s="56"/>
      <c r="J692" s="56"/>
      <c r="K692" s="56"/>
      <c r="L692" s="56"/>
      <c r="M692" s="56"/>
      <c r="N692" s="56"/>
      <c r="O692" s="56"/>
      <c r="P692" s="56"/>
    </row>
    <row r="693" spans="1:16">
      <c r="A693" s="56"/>
      <c r="B693" s="56"/>
      <c r="C693" s="56"/>
      <c r="D693" s="56"/>
      <c r="E693" s="56"/>
      <c r="F693" s="56"/>
      <c r="G693" s="56"/>
      <c r="H693" s="56"/>
      <c r="I693" s="56"/>
      <c r="J693" s="56"/>
      <c r="K693" s="56"/>
      <c r="L693" s="56"/>
      <c r="M693" s="56"/>
      <c r="N693" s="56"/>
      <c r="O693" s="56"/>
      <c r="P693" s="56"/>
    </row>
    <row r="694" spans="1:16">
      <c r="A694" s="56"/>
      <c r="B694" s="56"/>
      <c r="C694" s="56"/>
      <c r="D694" s="56"/>
      <c r="E694" s="56"/>
      <c r="F694" s="56"/>
      <c r="G694" s="56"/>
      <c r="H694" s="56"/>
      <c r="I694" s="56"/>
      <c r="J694" s="56"/>
      <c r="K694" s="56"/>
      <c r="L694" s="56"/>
      <c r="M694" s="56"/>
      <c r="N694" s="56"/>
      <c r="O694" s="56"/>
      <c r="P694" s="56"/>
    </row>
    <row r="695" spans="1:16">
      <c r="A695" s="56"/>
      <c r="B695" s="56"/>
      <c r="C695" s="56"/>
      <c r="D695" s="56"/>
      <c r="E695" s="56"/>
      <c r="F695" s="56"/>
      <c r="G695" s="56"/>
      <c r="H695" s="56"/>
      <c r="I695" s="56"/>
      <c r="J695" s="56"/>
      <c r="K695" s="56"/>
      <c r="L695" s="56"/>
      <c r="M695" s="56"/>
      <c r="N695" s="56"/>
      <c r="O695" s="56"/>
      <c r="P695" s="56"/>
    </row>
    <row r="696" spans="1:16">
      <c r="A696" s="56"/>
      <c r="B696" s="56"/>
      <c r="C696" s="56"/>
      <c r="D696" s="56"/>
      <c r="E696" s="56"/>
      <c r="F696" s="56"/>
      <c r="G696" s="56"/>
      <c r="H696" s="56"/>
      <c r="I696" s="56"/>
      <c r="J696" s="56"/>
      <c r="K696" s="56"/>
      <c r="L696" s="56"/>
      <c r="M696" s="56"/>
      <c r="N696" s="56"/>
      <c r="O696" s="56"/>
      <c r="P696" s="56"/>
    </row>
  </sheetData>
  <autoFilter ref="A4:Q544">
    <sortState ref="A6:Q540">
      <sortCondition ref="A4:A524"/>
    </sortState>
  </autoFilter>
  <customSheetViews>
    <customSheetView guid="{F039C147-8083-49A0-B541-A610A15BA793}" showAutoFilter="1" topLeftCell="E9">
      <selection activeCell="I19" sqref="I19"/>
      <pageMargins left="0.7" right="0.7" top="0.75" bottom="0.75" header="0.3" footer="0.3"/>
      <autoFilter ref="A4:Q540">
        <sortState ref="A6:Q540">
          <sortCondition ref="A4:A524"/>
        </sortState>
      </autoFilter>
    </customSheetView>
    <customSheetView guid="{F140806D-66CA-4A66-855A-CCBDE7D69760}" showAutoFilter="1" topLeftCell="B1">
      <selection activeCell="C19" sqref="C19"/>
      <pageMargins left="0.7" right="0.7" top="0.75" bottom="0.75" header="0.3" footer="0.3"/>
      <autoFilter ref="A4:Q540">
        <sortState ref="A6:Q540">
          <sortCondition ref="A4:A524"/>
        </sortState>
      </autoFilter>
    </customSheetView>
  </customSheetViews>
  <mergeCells count="2">
    <mergeCell ref="E1:J1"/>
    <mergeCell ref="K1:P1"/>
  </mergeCells>
  <conditionalFormatting sqref="A4">
    <cfRule type="duplicateValues" dxfId="9" priority="95"/>
  </conditionalFormatting>
  <conditionalFormatting sqref="A540:A1048576 A1:A538">
    <cfRule type="duplicateValues" dxfId="8" priority="93"/>
  </conditionalFormatting>
  <conditionalFormatting sqref="B190:D190">
    <cfRule type="duplicateValues" dxfId="7" priority="91"/>
  </conditionalFormatting>
  <conditionalFormatting sqref="B190:D190">
    <cfRule type="duplicateValues" dxfId="6" priority="92"/>
  </conditionalFormatting>
  <conditionalFormatting sqref="K542:P542">
    <cfRule type="duplicateValues" dxfId="5" priority="88"/>
  </conditionalFormatting>
  <conditionalFormatting sqref="A540:A696 A5:A538">
    <cfRule type="duplicateValues" dxfId="4" priority="96"/>
  </conditionalFormatting>
  <conditionalFormatting sqref="A539">
    <cfRule type="duplicateValues" dxfId="3" priority="80"/>
  </conditionalFormatting>
  <conditionalFormatting sqref="A539">
    <cfRule type="duplicateValues" dxfId="2" priority="81"/>
  </conditionalFormatting>
  <conditionalFormatting sqref="F542:J542">
    <cfRule type="duplicateValues" dxfId="1" priority="74"/>
  </conditionalFormatting>
  <conditionalFormatting sqref="E542">
    <cfRule type="duplicateValues" dxfId="0" priority="1"/>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5"/>
  <sheetViews>
    <sheetView workbookViewId="0">
      <selection activeCell="A268" sqref="A268"/>
    </sheetView>
  </sheetViews>
  <sheetFormatPr defaultRowHeight="15"/>
  <cols>
    <col min="1" max="1" width="47.5703125" bestFit="1" customWidth="1"/>
    <col min="2" max="3" width="13.5703125" bestFit="1" customWidth="1"/>
    <col min="5" max="6" width="15.28515625" bestFit="1" customWidth="1"/>
    <col min="7" max="9" width="16.85546875" bestFit="1" customWidth="1"/>
  </cols>
  <sheetData>
    <row r="1" spans="1:9" ht="15.75">
      <c r="A1" s="1588" t="s">
        <v>0</v>
      </c>
      <c r="B1" s="1588"/>
      <c r="C1" s="1588"/>
      <c r="E1" s="1"/>
      <c r="F1" s="1"/>
      <c r="G1" s="1"/>
      <c r="H1" s="1"/>
      <c r="I1" s="1"/>
    </row>
    <row r="2" spans="1:9">
      <c r="A2" s="1589" t="s">
        <v>1</v>
      </c>
      <c r="B2" s="1589"/>
      <c r="C2" s="1589"/>
      <c r="E2" s="1"/>
      <c r="F2" s="1"/>
      <c r="G2" s="1"/>
      <c r="H2" s="1"/>
      <c r="I2" s="1"/>
    </row>
    <row r="3" spans="1:9">
      <c r="A3" s="1589" t="s">
        <v>2</v>
      </c>
      <c r="B3" s="1589"/>
      <c r="C3" s="1589"/>
      <c r="E3" s="1"/>
      <c r="F3" s="1"/>
      <c r="G3" s="1"/>
      <c r="H3" s="1"/>
      <c r="I3" s="1"/>
    </row>
    <row r="4" spans="1:9">
      <c r="A4" s="1589" t="s">
        <v>3</v>
      </c>
      <c r="B4" s="1589"/>
      <c r="C4" s="1589"/>
      <c r="E4" s="1"/>
      <c r="F4" s="1"/>
      <c r="G4" s="1"/>
      <c r="H4" s="1"/>
      <c r="I4" s="1"/>
    </row>
    <row r="5" spans="1:9">
      <c r="A5" s="1590" t="s">
        <v>4</v>
      </c>
      <c r="B5" s="1590"/>
      <c r="C5" s="1590"/>
      <c r="E5" s="1"/>
      <c r="F5" s="1"/>
      <c r="G5" s="1"/>
      <c r="H5" s="1"/>
      <c r="I5" s="1"/>
    </row>
    <row r="6" spans="1:9" ht="15.75">
      <c r="A6" s="1591" t="s">
        <v>5</v>
      </c>
      <c r="B6" s="1591"/>
      <c r="C6" s="1591"/>
      <c r="E6" s="1"/>
      <c r="F6" s="1"/>
      <c r="G6" s="1"/>
      <c r="H6" s="1"/>
      <c r="I6" s="1"/>
    </row>
    <row r="7" spans="1:9">
      <c r="A7" s="1589" t="s">
        <v>6</v>
      </c>
      <c r="B7" s="1589"/>
      <c r="C7" s="1589"/>
      <c r="E7" s="1"/>
      <c r="F7" s="1"/>
      <c r="G7" s="1"/>
      <c r="H7" s="1"/>
      <c r="I7" s="1"/>
    </row>
    <row r="8" spans="1:9" ht="15" customHeight="1">
      <c r="A8" s="2" t="s">
        <v>7</v>
      </c>
      <c r="B8" s="1586" t="s">
        <v>8</v>
      </c>
      <c r="C8" s="1587"/>
      <c r="E8" s="1"/>
      <c r="F8" s="1"/>
      <c r="G8" s="1"/>
      <c r="H8" s="1"/>
      <c r="I8" s="1"/>
    </row>
    <row r="9" spans="1:9" ht="15" customHeight="1">
      <c r="A9" s="3" t="s">
        <v>9</v>
      </c>
      <c r="B9" s="1582" t="s">
        <v>6</v>
      </c>
      <c r="C9" s="1583"/>
      <c r="E9" s="1"/>
      <c r="F9" s="1"/>
      <c r="G9" s="1"/>
      <c r="H9" s="1"/>
      <c r="I9" s="1"/>
    </row>
    <row r="10" spans="1:9">
      <c r="A10" s="3" t="s">
        <v>7</v>
      </c>
      <c r="B10" s="1584" t="s">
        <v>10</v>
      </c>
      <c r="C10" s="1585"/>
      <c r="E10" s="1"/>
      <c r="F10" s="1"/>
      <c r="G10" s="1"/>
      <c r="H10" s="1"/>
      <c r="I10" s="1"/>
    </row>
    <row r="11" spans="1:9">
      <c r="A11" s="4" t="s">
        <v>7</v>
      </c>
      <c r="B11" s="729" t="s">
        <v>11</v>
      </c>
      <c r="C11" s="729" t="s">
        <v>12</v>
      </c>
      <c r="E11" s="1" t="s">
        <v>13</v>
      </c>
      <c r="F11" s="1" t="s">
        <v>14</v>
      </c>
      <c r="G11" s="1" t="s">
        <v>15</v>
      </c>
      <c r="H11" s="6" t="s">
        <v>16</v>
      </c>
      <c r="I11" s="6" t="s">
        <v>17</v>
      </c>
    </row>
    <row r="12" spans="1:9" ht="15" customHeight="1">
      <c r="A12" s="7" t="s">
        <v>18</v>
      </c>
      <c r="B12" s="8">
        <v>51184927.25</v>
      </c>
      <c r="C12" s="9"/>
      <c r="E12" s="1">
        <f>+IFERROR(VLOOKUP(A12,'TB MAIN'!$A$4:$J$541,7,0),0)</f>
        <v>51184927.25</v>
      </c>
      <c r="F12" s="1">
        <f>+IFERROR(VLOOKUP(A12,'TB MAIN'!$A$4:$J$541,10,0),0)</f>
        <v>0</v>
      </c>
      <c r="G12" s="1">
        <f>+B12-E12</f>
        <v>0</v>
      </c>
      <c r="H12" s="1">
        <f>+C12-F12</f>
        <v>0</v>
      </c>
      <c r="I12" s="1">
        <f>+G12+H12</f>
        <v>0</v>
      </c>
    </row>
    <row r="13" spans="1:9" ht="15" customHeight="1">
      <c r="A13" s="10" t="s">
        <v>19</v>
      </c>
      <c r="B13" s="11"/>
      <c r="C13" s="12">
        <v>892701</v>
      </c>
      <c r="E13" s="1">
        <f>+IFERROR(VLOOKUP(A13,'TB MAIN'!$A$4:$J$541,7,0),0)</f>
        <v>0</v>
      </c>
      <c r="F13" s="1">
        <f>+IFERROR(VLOOKUP(A13,'TB MAIN'!$A$4:$J$541,10,0),0)</f>
        <v>892701</v>
      </c>
      <c r="G13" s="1">
        <f t="shared" ref="G13:G76" si="0">+B13-E13</f>
        <v>0</v>
      </c>
      <c r="H13" s="1">
        <f t="shared" ref="H13:H76" si="1">+C13-F13</f>
        <v>0</v>
      </c>
      <c r="I13" s="1">
        <f t="shared" ref="I13:I76" si="2">+G13+H13</f>
        <v>0</v>
      </c>
    </row>
    <row r="14" spans="1:9" ht="15" customHeight="1">
      <c r="A14" s="10" t="s">
        <v>21</v>
      </c>
      <c r="B14" s="12">
        <v>3800000</v>
      </c>
      <c r="C14" s="11"/>
      <c r="E14" s="1">
        <f>+IFERROR(VLOOKUP(A14,'TB MAIN'!$A$4:$J$541,7,0),0)</f>
        <v>3800000</v>
      </c>
      <c r="F14" s="1">
        <f>+IFERROR(VLOOKUP(A14,'TB MAIN'!$A$4:$J$541,10,0),0)</f>
        <v>0</v>
      </c>
      <c r="G14" s="1">
        <f t="shared" si="0"/>
        <v>0</v>
      </c>
      <c r="H14" s="1">
        <f t="shared" si="1"/>
        <v>0</v>
      </c>
      <c r="I14" s="1">
        <f t="shared" si="2"/>
        <v>0</v>
      </c>
    </row>
    <row r="15" spans="1:9" ht="15" customHeight="1">
      <c r="A15" s="10" t="s">
        <v>22</v>
      </c>
      <c r="B15" s="12">
        <v>113158</v>
      </c>
      <c r="C15" s="11"/>
      <c r="E15" s="1">
        <f>+IFERROR(VLOOKUP(A15,'TB MAIN'!$A$4:$J$541,7,0),0)</f>
        <v>113158</v>
      </c>
      <c r="F15" s="1">
        <f>+IFERROR(VLOOKUP(A15,'TB MAIN'!$A$4:$J$541,10,0),0)</f>
        <v>0</v>
      </c>
      <c r="G15" s="1">
        <f t="shared" si="0"/>
        <v>0</v>
      </c>
      <c r="H15" s="1">
        <f t="shared" si="1"/>
        <v>0</v>
      </c>
      <c r="I15" s="1">
        <f t="shared" si="2"/>
        <v>0</v>
      </c>
    </row>
    <row r="16" spans="1:9" ht="15" customHeight="1">
      <c r="A16" s="10" t="s">
        <v>23</v>
      </c>
      <c r="B16" s="12">
        <v>1426108</v>
      </c>
      <c r="C16" s="11"/>
      <c r="E16" s="1">
        <f>+IFERROR(VLOOKUP(A16,'TB MAIN'!$A$4:$J$541,7,0),0)</f>
        <v>1426108</v>
      </c>
      <c r="F16" s="1">
        <f>+IFERROR(VLOOKUP(A16,'TB MAIN'!$A$4:$J$541,10,0),0)</f>
        <v>0</v>
      </c>
      <c r="G16" s="1">
        <f t="shared" si="0"/>
        <v>0</v>
      </c>
      <c r="H16" s="1">
        <f t="shared" si="1"/>
        <v>0</v>
      </c>
      <c r="I16" s="1">
        <f t="shared" si="2"/>
        <v>0</v>
      </c>
    </row>
    <row r="17" spans="1:9" ht="15" customHeight="1">
      <c r="A17" s="10" t="s">
        <v>24</v>
      </c>
      <c r="B17" s="11"/>
      <c r="C17" s="12">
        <v>6800</v>
      </c>
      <c r="E17" s="1">
        <f>+IFERROR(VLOOKUP(A17,'TB MAIN'!$A$4:$J$541,7,0),0)</f>
        <v>0</v>
      </c>
      <c r="F17" s="1">
        <f>+IFERROR(VLOOKUP(A17,'TB MAIN'!$A$4:$J$541,10,0),0)</f>
        <v>6800</v>
      </c>
      <c r="G17" s="1">
        <f t="shared" si="0"/>
        <v>0</v>
      </c>
      <c r="H17" s="1">
        <f t="shared" si="1"/>
        <v>0</v>
      </c>
      <c r="I17" s="1">
        <f t="shared" si="2"/>
        <v>0</v>
      </c>
    </row>
    <row r="18" spans="1:9" ht="15" customHeight="1">
      <c r="A18" s="10" t="s">
        <v>25</v>
      </c>
      <c r="B18" s="11"/>
      <c r="C18" s="12">
        <v>135000</v>
      </c>
      <c r="E18" s="1">
        <f>+IFERROR(VLOOKUP(A18,'TB MAIN'!$A$4:$J$541,7,0),0)</f>
        <v>0</v>
      </c>
      <c r="F18" s="1">
        <f>+IFERROR(VLOOKUP(A18,'TB MAIN'!$A$4:$J$541,10,0),0)</f>
        <v>135000</v>
      </c>
      <c r="G18" s="1">
        <f t="shared" si="0"/>
        <v>0</v>
      </c>
      <c r="H18" s="1">
        <f t="shared" si="1"/>
        <v>0</v>
      </c>
      <c r="I18" s="1">
        <f t="shared" si="2"/>
        <v>0</v>
      </c>
    </row>
    <row r="19" spans="1:9" ht="15" customHeight="1">
      <c r="A19" s="10" t="s">
        <v>26</v>
      </c>
      <c r="B19" s="12">
        <v>1152502</v>
      </c>
      <c r="C19" s="11"/>
      <c r="E19" s="1">
        <f>+IFERROR(VLOOKUP(A19,'TB MAIN'!$A$4:$J$541,7,0),0)</f>
        <v>1152502</v>
      </c>
      <c r="F19" s="1">
        <f>+IFERROR(VLOOKUP(A19,'TB MAIN'!$A$4:$J$541,10,0),0)</f>
        <v>0</v>
      </c>
      <c r="G19" s="1">
        <f t="shared" si="0"/>
        <v>0</v>
      </c>
      <c r="H19" s="1">
        <f t="shared" si="1"/>
        <v>0</v>
      </c>
      <c r="I19" s="1">
        <f t="shared" si="2"/>
        <v>0</v>
      </c>
    </row>
    <row r="20" spans="1:9" ht="15" customHeight="1">
      <c r="A20" s="10" t="s">
        <v>27</v>
      </c>
      <c r="B20" s="12">
        <v>3898375</v>
      </c>
      <c r="C20" s="11"/>
      <c r="E20" s="1">
        <f>+IFERROR(VLOOKUP(A20,'TB MAIN'!$A$4:$J$541,7,0),0)</f>
        <v>3898375</v>
      </c>
      <c r="F20" s="1">
        <f>+IFERROR(VLOOKUP(A20,'TB MAIN'!$A$4:$J$541,10,0),0)</f>
        <v>0</v>
      </c>
      <c r="G20" s="1">
        <f t="shared" si="0"/>
        <v>0</v>
      </c>
      <c r="H20" s="1">
        <f t="shared" si="1"/>
        <v>0</v>
      </c>
      <c r="I20" s="1">
        <f t="shared" si="2"/>
        <v>0</v>
      </c>
    </row>
    <row r="21" spans="1:9" ht="15" customHeight="1">
      <c r="A21" s="10" t="s">
        <v>28</v>
      </c>
      <c r="B21" s="11"/>
      <c r="C21" s="12">
        <v>54318</v>
      </c>
      <c r="E21" s="1">
        <f>+IFERROR(VLOOKUP(A21,'TB MAIN'!$A$4:$J$541,7,0),0)</f>
        <v>0</v>
      </c>
      <c r="F21" s="1">
        <f>+IFERROR(VLOOKUP(A21,'TB MAIN'!$A$4:$J$541,10,0),0)</f>
        <v>54318</v>
      </c>
      <c r="G21" s="1">
        <f t="shared" si="0"/>
        <v>0</v>
      </c>
      <c r="H21" s="1">
        <f t="shared" si="1"/>
        <v>0</v>
      </c>
      <c r="I21" s="1">
        <f t="shared" si="2"/>
        <v>0</v>
      </c>
    </row>
    <row r="22" spans="1:9" ht="15" customHeight="1">
      <c r="A22" s="10" t="s">
        <v>29</v>
      </c>
      <c r="B22" s="12">
        <v>4000</v>
      </c>
      <c r="C22" s="11"/>
      <c r="E22" s="1">
        <f>+IFERROR(VLOOKUP(A22,'TB MAIN'!$A$4:$J$541,7,0),0)</f>
        <v>4000</v>
      </c>
      <c r="F22" s="1">
        <f>+IFERROR(VLOOKUP(A22,'TB MAIN'!$A$4:$J$541,10,0),0)</f>
        <v>0</v>
      </c>
      <c r="G22" s="1">
        <f t="shared" si="0"/>
        <v>0</v>
      </c>
      <c r="H22" s="1">
        <f t="shared" si="1"/>
        <v>0</v>
      </c>
      <c r="I22" s="1">
        <f t="shared" si="2"/>
        <v>0</v>
      </c>
    </row>
    <row r="23" spans="1:9" ht="15" customHeight="1">
      <c r="A23" s="10" t="s">
        <v>30</v>
      </c>
      <c r="B23" s="11"/>
      <c r="C23" s="12">
        <v>136776</v>
      </c>
      <c r="E23" s="1">
        <f>+IFERROR(VLOOKUP(A23,'TB MAIN'!$A$4:$J$541,7,0),0)</f>
        <v>0</v>
      </c>
      <c r="F23" s="1">
        <f>+IFERROR(VLOOKUP(A23,'TB MAIN'!$A$4:$J$541,10,0),0)</f>
        <v>136776</v>
      </c>
      <c r="G23" s="1">
        <f t="shared" si="0"/>
        <v>0</v>
      </c>
      <c r="H23" s="1">
        <f t="shared" si="1"/>
        <v>0</v>
      </c>
      <c r="I23" s="1">
        <f t="shared" si="2"/>
        <v>0</v>
      </c>
    </row>
    <row r="24" spans="1:9" ht="15" customHeight="1">
      <c r="A24" s="10" t="s">
        <v>31</v>
      </c>
      <c r="B24" s="11"/>
      <c r="C24" s="12">
        <v>222332</v>
      </c>
      <c r="E24" s="1">
        <f>+IFERROR(VLOOKUP(A24,'TB MAIN'!$A$4:$J$541,7,0),0)</f>
        <v>0</v>
      </c>
      <c r="F24" s="1">
        <f>+IFERROR(VLOOKUP(A24,'TB MAIN'!$A$4:$J$541,10,0),0)</f>
        <v>222332</v>
      </c>
      <c r="G24" s="1">
        <f t="shared" si="0"/>
        <v>0</v>
      </c>
      <c r="H24" s="1">
        <f t="shared" si="1"/>
        <v>0</v>
      </c>
      <c r="I24" s="1">
        <f t="shared" si="2"/>
        <v>0</v>
      </c>
    </row>
    <row r="25" spans="1:9" ht="15" customHeight="1">
      <c r="A25" s="10" t="s">
        <v>32</v>
      </c>
      <c r="B25" s="11"/>
      <c r="C25" s="12">
        <v>2186694</v>
      </c>
      <c r="E25" s="1">
        <f>+IFERROR(VLOOKUP(A25,'TB MAIN'!$A$4:$J$541,7,0),0)</f>
        <v>0</v>
      </c>
      <c r="F25" s="1">
        <f>+IFERROR(VLOOKUP(A25,'TB MAIN'!$A$4:$J$541,10,0),0)</f>
        <v>2186694</v>
      </c>
      <c r="G25" s="1">
        <f t="shared" si="0"/>
        <v>0</v>
      </c>
      <c r="H25" s="1">
        <f t="shared" si="1"/>
        <v>0</v>
      </c>
      <c r="I25" s="1">
        <f t="shared" si="2"/>
        <v>0</v>
      </c>
    </row>
    <row r="26" spans="1:9" ht="15" customHeight="1">
      <c r="A26" s="10" t="s">
        <v>33</v>
      </c>
      <c r="B26" s="11"/>
      <c r="C26" s="12">
        <v>874676</v>
      </c>
      <c r="E26" s="1">
        <f>+IFERROR(VLOOKUP(A26,'TB MAIN'!$A$4:$J$541,7,0),0)</f>
        <v>0</v>
      </c>
      <c r="F26" s="1">
        <f>+IFERROR(VLOOKUP(A26,'TB MAIN'!$A$4:$J$541,10,0),0)</f>
        <v>874676</v>
      </c>
      <c r="G26" s="1">
        <f t="shared" si="0"/>
        <v>0</v>
      </c>
      <c r="H26" s="1">
        <f t="shared" si="1"/>
        <v>0</v>
      </c>
      <c r="I26" s="1">
        <f t="shared" si="2"/>
        <v>0</v>
      </c>
    </row>
    <row r="27" spans="1:9" ht="15" customHeight="1">
      <c r="A27" s="10" t="s">
        <v>34</v>
      </c>
      <c r="B27" s="11"/>
      <c r="C27" s="12">
        <v>30012</v>
      </c>
      <c r="E27" s="1">
        <f>+IFERROR(VLOOKUP(A27,'TB MAIN'!$A$4:$J$541,7,0),0)</f>
        <v>0</v>
      </c>
      <c r="F27" s="1">
        <f>+IFERROR(VLOOKUP(A27,'TB MAIN'!$A$4:$J$541,10,0),0)</f>
        <v>30012</v>
      </c>
      <c r="G27" s="1">
        <f t="shared" si="0"/>
        <v>0</v>
      </c>
      <c r="H27" s="1">
        <f t="shared" si="1"/>
        <v>0</v>
      </c>
      <c r="I27" s="1">
        <f t="shared" si="2"/>
        <v>0</v>
      </c>
    </row>
    <row r="28" spans="1:9" ht="15" customHeight="1">
      <c r="A28" s="10" t="s">
        <v>35</v>
      </c>
      <c r="B28" s="12">
        <v>9000</v>
      </c>
      <c r="C28" s="11"/>
      <c r="E28" s="1">
        <f>+IFERROR(VLOOKUP(A28,'TB MAIN'!$A$4:$J$541,7,0),0)</f>
        <v>9000</v>
      </c>
      <c r="F28" s="1">
        <f>+IFERROR(VLOOKUP(A28,'TB MAIN'!$A$4:$J$541,10,0),0)</f>
        <v>0</v>
      </c>
      <c r="G28" s="1">
        <f t="shared" si="0"/>
        <v>0</v>
      </c>
      <c r="H28" s="1">
        <f t="shared" si="1"/>
        <v>0</v>
      </c>
      <c r="I28" s="1">
        <f t="shared" si="2"/>
        <v>0</v>
      </c>
    </row>
    <row r="29" spans="1:9" ht="15" customHeight="1">
      <c r="A29" s="10" t="s">
        <v>36</v>
      </c>
      <c r="B29" s="12">
        <v>64000</v>
      </c>
      <c r="C29" s="11"/>
      <c r="E29" s="1">
        <f>+IFERROR(VLOOKUP(A29,'TB MAIN'!$A$4:$J$541,7,0),0)</f>
        <v>64000</v>
      </c>
      <c r="F29" s="1">
        <f>+IFERROR(VLOOKUP(A29,'TB MAIN'!$A$4:$J$541,10,0),0)</f>
        <v>0</v>
      </c>
      <c r="G29" s="1">
        <f t="shared" si="0"/>
        <v>0</v>
      </c>
      <c r="H29" s="1">
        <f t="shared" si="1"/>
        <v>0</v>
      </c>
      <c r="I29" s="1">
        <f t="shared" si="2"/>
        <v>0</v>
      </c>
    </row>
    <row r="30" spans="1:9" ht="15" customHeight="1">
      <c r="A30" s="10" t="s">
        <v>37</v>
      </c>
      <c r="B30" s="11"/>
      <c r="C30" s="12">
        <v>46846</v>
      </c>
      <c r="E30" s="1">
        <f>+IFERROR(VLOOKUP(A30,'TB MAIN'!$A$4:$J$541,7,0),0)</f>
        <v>0</v>
      </c>
      <c r="F30" s="1">
        <f>+IFERROR(VLOOKUP(A30,'TB MAIN'!$A$4:$J$541,10,0),0)</f>
        <v>46846</v>
      </c>
      <c r="G30" s="1">
        <f t="shared" si="0"/>
        <v>0</v>
      </c>
      <c r="H30" s="1">
        <f t="shared" si="1"/>
        <v>0</v>
      </c>
      <c r="I30" s="1">
        <f t="shared" si="2"/>
        <v>0</v>
      </c>
    </row>
    <row r="31" spans="1:9" ht="15" customHeight="1">
      <c r="A31" s="10" t="s">
        <v>38</v>
      </c>
      <c r="B31" s="11"/>
      <c r="C31" s="12">
        <v>6442</v>
      </c>
      <c r="E31" s="1">
        <f>+IFERROR(VLOOKUP(A31,'TB MAIN'!$A$4:$J$541,7,0),0)</f>
        <v>0</v>
      </c>
      <c r="F31" s="1">
        <f>+IFERROR(VLOOKUP(A31,'TB MAIN'!$A$4:$J$541,10,0),0)</f>
        <v>6442</v>
      </c>
      <c r="G31" s="1">
        <f t="shared" si="0"/>
        <v>0</v>
      </c>
      <c r="H31" s="1">
        <f t="shared" si="1"/>
        <v>0</v>
      </c>
      <c r="I31" s="1">
        <f t="shared" si="2"/>
        <v>0</v>
      </c>
    </row>
    <row r="32" spans="1:9" ht="15" customHeight="1">
      <c r="A32" s="10" t="s">
        <v>39</v>
      </c>
      <c r="B32" s="12">
        <v>3827</v>
      </c>
      <c r="C32" s="11"/>
      <c r="E32" s="1">
        <f>+IFERROR(VLOOKUP(A32,'TB MAIN'!$A$4:$J$541,7,0),0)</f>
        <v>3827</v>
      </c>
      <c r="F32" s="1">
        <f>+IFERROR(VLOOKUP(A32,'TB MAIN'!$A$4:$J$541,10,0),0)</f>
        <v>0</v>
      </c>
      <c r="G32" s="1">
        <f t="shared" si="0"/>
        <v>0</v>
      </c>
      <c r="H32" s="1">
        <f t="shared" si="1"/>
        <v>0</v>
      </c>
      <c r="I32" s="1">
        <f t="shared" si="2"/>
        <v>0</v>
      </c>
    </row>
    <row r="33" spans="1:9" ht="15" customHeight="1">
      <c r="A33" s="10" t="s">
        <v>40</v>
      </c>
      <c r="B33" s="12">
        <v>7719</v>
      </c>
      <c r="C33" s="11"/>
      <c r="E33" s="1">
        <f>+IFERROR(VLOOKUP(A33,'TB MAIN'!$A$4:$J$541,7,0),0)</f>
        <v>7719</v>
      </c>
      <c r="F33" s="1">
        <f>+IFERROR(VLOOKUP(A33,'TB MAIN'!$A$4:$J$541,10,0),0)</f>
        <v>0</v>
      </c>
      <c r="G33" s="1">
        <f t="shared" si="0"/>
        <v>0</v>
      </c>
      <c r="H33" s="1">
        <f t="shared" si="1"/>
        <v>0</v>
      </c>
      <c r="I33" s="1">
        <f t="shared" si="2"/>
        <v>0</v>
      </c>
    </row>
    <row r="34" spans="1:9" ht="15" customHeight="1">
      <c r="A34" s="10" t="s">
        <v>41</v>
      </c>
      <c r="B34" s="11"/>
      <c r="C34" s="12">
        <v>243500</v>
      </c>
      <c r="E34" s="1">
        <f>+IFERROR(VLOOKUP(A34,'TB MAIN'!$A$4:$J$541,7,0),0)</f>
        <v>0</v>
      </c>
      <c r="F34" s="1">
        <f>+IFERROR(VLOOKUP(A34,'TB MAIN'!$A$4:$J$541,10,0),0)</f>
        <v>243500</v>
      </c>
      <c r="G34" s="1">
        <f t="shared" si="0"/>
        <v>0</v>
      </c>
      <c r="H34" s="1">
        <f t="shared" si="1"/>
        <v>0</v>
      </c>
      <c r="I34" s="1">
        <f t="shared" si="2"/>
        <v>0</v>
      </c>
    </row>
    <row r="35" spans="1:9" ht="15" customHeight="1">
      <c r="A35" s="10" t="s">
        <v>42</v>
      </c>
      <c r="B35" s="12">
        <v>2927</v>
      </c>
      <c r="C35" s="11"/>
      <c r="E35" s="1">
        <f>+IFERROR(VLOOKUP(A35,'TB MAIN'!$A$4:$J$541,7,0),0)</f>
        <v>2927</v>
      </c>
      <c r="F35" s="1">
        <f>+IFERROR(VLOOKUP(A35,'TB MAIN'!$A$4:$J$541,10,0),0)</f>
        <v>0</v>
      </c>
      <c r="G35" s="1">
        <f t="shared" si="0"/>
        <v>0</v>
      </c>
      <c r="H35" s="1">
        <f t="shared" si="1"/>
        <v>0</v>
      </c>
      <c r="I35" s="1">
        <f t="shared" si="2"/>
        <v>0</v>
      </c>
    </row>
    <row r="36" spans="1:9" ht="15" customHeight="1">
      <c r="A36" s="10" t="s">
        <v>43</v>
      </c>
      <c r="B36" s="11"/>
      <c r="C36" s="12">
        <v>72103</v>
      </c>
      <c r="E36" s="1">
        <f>+IFERROR(VLOOKUP(A36,'TB MAIN'!$A$4:$J$541,7,0),0)</f>
        <v>0</v>
      </c>
      <c r="F36" s="1">
        <f>+IFERROR(VLOOKUP(A36,'TB MAIN'!$A$4:$J$541,10,0),0)</f>
        <v>72103</v>
      </c>
      <c r="G36" s="1">
        <f t="shared" si="0"/>
        <v>0</v>
      </c>
      <c r="H36" s="1">
        <f t="shared" si="1"/>
        <v>0</v>
      </c>
      <c r="I36" s="1">
        <f t="shared" si="2"/>
        <v>0</v>
      </c>
    </row>
    <row r="37" spans="1:9" ht="15" customHeight="1">
      <c r="A37" s="10" t="s">
        <v>44</v>
      </c>
      <c r="B37" s="11"/>
      <c r="C37" s="12">
        <v>1093348</v>
      </c>
      <c r="E37" s="1">
        <f>+IFERROR(VLOOKUP(A37,'TB MAIN'!$A$4:$J$541,7,0),0)</f>
        <v>0</v>
      </c>
      <c r="F37" s="1">
        <f>+IFERROR(VLOOKUP(A37,'TB MAIN'!$A$4:$J$541,10,0),0)</f>
        <v>1093348</v>
      </c>
      <c r="G37" s="1">
        <f t="shared" si="0"/>
        <v>0</v>
      </c>
      <c r="H37" s="1">
        <f t="shared" si="1"/>
        <v>0</v>
      </c>
      <c r="I37" s="1">
        <f t="shared" si="2"/>
        <v>0</v>
      </c>
    </row>
    <row r="38" spans="1:9" ht="15" customHeight="1">
      <c r="A38" s="10" t="s">
        <v>45</v>
      </c>
      <c r="B38" s="12">
        <v>475603.13</v>
      </c>
      <c r="C38" s="11"/>
      <c r="E38" s="1">
        <f>+IFERROR(VLOOKUP(A38,'TB MAIN'!$A$4:$J$541,7,0),0)</f>
        <v>475623.63</v>
      </c>
      <c r="F38" s="1">
        <f>+IFERROR(VLOOKUP(A38,'TB MAIN'!$A$4:$J$541,10,0),0)</f>
        <v>0</v>
      </c>
      <c r="G38" s="1">
        <f t="shared" si="0"/>
        <v>-20.5</v>
      </c>
      <c r="H38" s="1">
        <f t="shared" si="1"/>
        <v>0</v>
      </c>
      <c r="I38" s="1">
        <f t="shared" si="2"/>
        <v>-20.5</v>
      </c>
    </row>
    <row r="39" spans="1:9" ht="15" customHeight="1">
      <c r="A39" s="10" t="s">
        <v>46</v>
      </c>
      <c r="B39" s="12">
        <v>132600</v>
      </c>
      <c r="C39" s="11"/>
      <c r="E39" s="1">
        <f>+IFERROR(VLOOKUP(A39,'TB MAIN'!$A$4:$J$541,7,0),0)</f>
        <v>132600</v>
      </c>
      <c r="F39" s="1">
        <f>+IFERROR(VLOOKUP(A39,'TB MAIN'!$A$4:$J$541,10,0),0)</f>
        <v>0</v>
      </c>
      <c r="G39" s="1">
        <f t="shared" si="0"/>
        <v>0</v>
      </c>
      <c r="H39" s="1">
        <f t="shared" si="1"/>
        <v>0</v>
      </c>
      <c r="I39" s="1">
        <f t="shared" si="2"/>
        <v>0</v>
      </c>
    </row>
    <row r="40" spans="1:9" ht="15" customHeight="1">
      <c r="A40" s="10" t="s">
        <v>47</v>
      </c>
      <c r="B40" s="12">
        <v>185908</v>
      </c>
      <c r="C40" s="11"/>
      <c r="E40" s="1">
        <f>+IFERROR(VLOOKUP(A40,'TB MAIN'!$A$4:$J$541,7,0),0)</f>
        <v>185908</v>
      </c>
      <c r="F40" s="1">
        <f>+IFERROR(VLOOKUP(A40,'TB MAIN'!$A$4:$J$541,10,0),0)</f>
        <v>0</v>
      </c>
      <c r="G40" s="1">
        <f t="shared" si="0"/>
        <v>0</v>
      </c>
      <c r="H40" s="1">
        <f t="shared" si="1"/>
        <v>0</v>
      </c>
      <c r="I40" s="1">
        <f t="shared" si="2"/>
        <v>0</v>
      </c>
    </row>
    <row r="41" spans="1:9" ht="15" customHeight="1">
      <c r="A41" s="10" t="s">
        <v>48</v>
      </c>
      <c r="B41" s="12">
        <v>140000</v>
      </c>
      <c r="C41" s="11"/>
      <c r="E41" s="1">
        <f>+IFERROR(VLOOKUP(A41,'TB MAIN'!$A$4:$J$541,7,0),0)</f>
        <v>140000</v>
      </c>
      <c r="F41" s="1">
        <f>+IFERROR(VLOOKUP(A41,'TB MAIN'!$A$4:$J$541,10,0),0)</f>
        <v>0</v>
      </c>
      <c r="G41" s="1">
        <f t="shared" si="0"/>
        <v>0</v>
      </c>
      <c r="H41" s="1">
        <f t="shared" si="1"/>
        <v>0</v>
      </c>
      <c r="I41" s="1">
        <f t="shared" si="2"/>
        <v>0</v>
      </c>
    </row>
    <row r="42" spans="1:9" ht="15" customHeight="1">
      <c r="A42" s="10" t="s">
        <v>49</v>
      </c>
      <c r="B42" s="11"/>
      <c r="C42" s="12">
        <v>53563</v>
      </c>
      <c r="E42" s="1">
        <f>+IFERROR(VLOOKUP(A42,'TB MAIN'!$A$4:$J$541,7,0),0)</f>
        <v>0</v>
      </c>
      <c r="F42" s="1">
        <f>+IFERROR(VLOOKUP(A42,'TB MAIN'!$A$4:$J$541,10,0),0)</f>
        <v>53563</v>
      </c>
      <c r="G42" s="1">
        <f t="shared" si="0"/>
        <v>0</v>
      </c>
      <c r="H42" s="1">
        <f t="shared" si="1"/>
        <v>0</v>
      </c>
      <c r="I42" s="1">
        <f t="shared" si="2"/>
        <v>0</v>
      </c>
    </row>
    <row r="43" spans="1:9" ht="15" customHeight="1">
      <c r="A43" s="10" t="s">
        <v>50</v>
      </c>
      <c r="B43" s="12">
        <v>2000</v>
      </c>
      <c r="C43" s="11"/>
      <c r="E43" s="1">
        <f>+IFERROR(VLOOKUP(A43,'TB MAIN'!$A$4:$J$541,7,0),0)</f>
        <v>2000</v>
      </c>
      <c r="F43" s="1">
        <f>+IFERROR(VLOOKUP(A43,'TB MAIN'!$A$4:$J$541,10,0),0)</f>
        <v>0</v>
      </c>
      <c r="G43" s="1">
        <f t="shared" si="0"/>
        <v>0</v>
      </c>
      <c r="H43" s="1">
        <f t="shared" si="1"/>
        <v>0</v>
      </c>
      <c r="I43" s="1">
        <f t="shared" si="2"/>
        <v>0</v>
      </c>
    </row>
    <row r="44" spans="1:9" ht="15" customHeight="1">
      <c r="A44" s="10" t="s">
        <v>51</v>
      </c>
      <c r="B44" s="12">
        <v>3586075</v>
      </c>
      <c r="C44" s="11"/>
      <c r="E44" s="1">
        <f>+IFERROR(VLOOKUP(A44,'TB MAIN'!$A$4:$J$541,7,0),0)</f>
        <v>3586075</v>
      </c>
      <c r="F44" s="1">
        <f>+IFERROR(VLOOKUP(A44,'TB MAIN'!$A$4:$J$541,10,0),0)</f>
        <v>0</v>
      </c>
      <c r="G44" s="1">
        <f t="shared" si="0"/>
        <v>0</v>
      </c>
      <c r="H44" s="1">
        <f t="shared" si="1"/>
        <v>0</v>
      </c>
      <c r="I44" s="1">
        <f t="shared" si="2"/>
        <v>0</v>
      </c>
    </row>
    <row r="45" spans="1:9" ht="15" customHeight="1">
      <c r="A45" s="10" t="s">
        <v>52</v>
      </c>
      <c r="B45" s="12">
        <v>3442</v>
      </c>
      <c r="C45" s="11"/>
      <c r="E45" s="1">
        <f>+IFERROR(VLOOKUP(A45,'TB MAIN'!$A$4:$J$541,7,0),0)</f>
        <v>3442</v>
      </c>
      <c r="F45" s="1">
        <f>+IFERROR(VLOOKUP(A45,'TB MAIN'!$A$4:$J$541,10,0),0)</f>
        <v>0</v>
      </c>
      <c r="G45" s="1">
        <f t="shared" si="0"/>
        <v>0</v>
      </c>
      <c r="H45" s="1">
        <f t="shared" si="1"/>
        <v>0</v>
      </c>
      <c r="I45" s="1">
        <f t="shared" si="2"/>
        <v>0</v>
      </c>
    </row>
    <row r="46" spans="1:9" ht="15" customHeight="1">
      <c r="A46" s="10" t="s">
        <v>53</v>
      </c>
      <c r="B46" s="12">
        <v>56016203.549999997</v>
      </c>
      <c r="C46" s="11"/>
      <c r="E46" s="1">
        <f>+IFERROR(VLOOKUP(A46,'TB MAIN'!$A$4:$J$541,7,0),0)</f>
        <v>56016203.549999997</v>
      </c>
      <c r="F46" s="1">
        <f>+IFERROR(VLOOKUP(A46,'TB MAIN'!$A$4:$J$541,10,0),0)</f>
        <v>0</v>
      </c>
      <c r="G46" s="1">
        <f t="shared" si="0"/>
        <v>0</v>
      </c>
      <c r="H46" s="1">
        <f t="shared" si="1"/>
        <v>0</v>
      </c>
      <c r="I46" s="1">
        <f t="shared" si="2"/>
        <v>0</v>
      </c>
    </row>
    <row r="47" spans="1:9" ht="15" customHeight="1">
      <c r="A47" s="10" t="s">
        <v>54</v>
      </c>
      <c r="B47" s="11"/>
      <c r="C47" s="12">
        <v>20413989</v>
      </c>
      <c r="E47" s="1">
        <f>+IFERROR(VLOOKUP(A47,'TB MAIN'!$A$4:$J$541,7,0),0)</f>
        <v>0</v>
      </c>
      <c r="F47" s="1">
        <f>+IFERROR(VLOOKUP(A47,'TB MAIN'!$A$4:$J$541,10,0),0)</f>
        <v>20413989</v>
      </c>
      <c r="G47" s="1">
        <f t="shared" si="0"/>
        <v>0</v>
      </c>
      <c r="H47" s="1">
        <f t="shared" si="1"/>
        <v>0</v>
      </c>
      <c r="I47" s="1">
        <f t="shared" si="2"/>
        <v>0</v>
      </c>
    </row>
    <row r="48" spans="1:9" ht="15" customHeight="1">
      <c r="A48" s="10" t="s">
        <v>55</v>
      </c>
      <c r="B48" s="12">
        <v>373855</v>
      </c>
      <c r="C48" s="11"/>
      <c r="E48" s="1">
        <f>+IFERROR(VLOOKUP(A48,'TB MAIN'!$A$4:$J$541,7,0),0)</f>
        <v>373855</v>
      </c>
      <c r="F48" s="1">
        <f>+IFERROR(VLOOKUP(A48,'TB MAIN'!$A$4:$J$541,10,0),0)</f>
        <v>0</v>
      </c>
      <c r="G48" s="1">
        <f t="shared" si="0"/>
        <v>0</v>
      </c>
      <c r="H48" s="1">
        <f t="shared" si="1"/>
        <v>0</v>
      </c>
      <c r="I48" s="1">
        <f t="shared" si="2"/>
        <v>0</v>
      </c>
    </row>
    <row r="49" spans="1:9" ht="15" customHeight="1">
      <c r="A49" s="10" t="s">
        <v>56</v>
      </c>
      <c r="B49" s="12">
        <v>6500</v>
      </c>
      <c r="C49" s="11"/>
      <c r="E49" s="1">
        <f>+IFERROR(VLOOKUP(A49,'TB MAIN'!$A$4:$J$541,7,0),0)</f>
        <v>6500</v>
      </c>
      <c r="F49" s="1">
        <f>+IFERROR(VLOOKUP(A49,'TB MAIN'!$A$4:$J$541,10,0),0)</f>
        <v>0</v>
      </c>
      <c r="G49" s="1">
        <f t="shared" si="0"/>
        <v>0</v>
      </c>
      <c r="H49" s="1">
        <f t="shared" si="1"/>
        <v>0</v>
      </c>
      <c r="I49" s="1">
        <f t="shared" si="2"/>
        <v>0</v>
      </c>
    </row>
    <row r="50" spans="1:9" ht="15" customHeight="1">
      <c r="A50" s="10" t="s">
        <v>57</v>
      </c>
      <c r="B50" s="12">
        <v>95134</v>
      </c>
      <c r="C50" s="11"/>
      <c r="E50" s="1">
        <f>+IFERROR(VLOOKUP(A50,'TB MAIN'!$A$4:$J$541,7,0),0)</f>
        <v>95134</v>
      </c>
      <c r="F50" s="1">
        <f>+IFERROR(VLOOKUP(A50,'TB MAIN'!$A$4:$J$541,10,0),0)</f>
        <v>0</v>
      </c>
      <c r="G50" s="1">
        <f t="shared" si="0"/>
        <v>0</v>
      </c>
      <c r="H50" s="1">
        <f t="shared" si="1"/>
        <v>0</v>
      </c>
      <c r="I50" s="1">
        <f t="shared" si="2"/>
        <v>0</v>
      </c>
    </row>
    <row r="51" spans="1:9" ht="15" customHeight="1">
      <c r="A51" s="10" t="s">
        <v>58</v>
      </c>
      <c r="B51" s="12">
        <v>64762</v>
      </c>
      <c r="C51" s="11"/>
      <c r="E51" s="1">
        <f>+IFERROR(VLOOKUP(A51,'TB MAIN'!$A$4:$J$541,7,0),0)</f>
        <v>64762</v>
      </c>
      <c r="F51" s="1">
        <f>+IFERROR(VLOOKUP(A51,'TB MAIN'!$A$4:$J$541,10,0),0)</f>
        <v>0</v>
      </c>
      <c r="G51" s="1">
        <f t="shared" si="0"/>
        <v>0</v>
      </c>
      <c r="H51" s="1">
        <f t="shared" si="1"/>
        <v>0</v>
      </c>
      <c r="I51" s="1">
        <f t="shared" si="2"/>
        <v>0</v>
      </c>
    </row>
    <row r="52" spans="1:9" ht="15" customHeight="1">
      <c r="A52" s="10" t="s">
        <v>59</v>
      </c>
      <c r="B52" s="12">
        <v>234166</v>
      </c>
      <c r="C52" s="11"/>
      <c r="E52" s="1">
        <f>+IFERROR(VLOOKUP(A52,'TB MAIN'!$A$4:$J$541,7,0),0)</f>
        <v>234166</v>
      </c>
      <c r="F52" s="1">
        <f>+IFERROR(VLOOKUP(A52,'TB MAIN'!$A$4:$J$541,10,0),0)</f>
        <v>0</v>
      </c>
      <c r="G52" s="1">
        <f t="shared" si="0"/>
        <v>0</v>
      </c>
      <c r="H52" s="1">
        <f t="shared" si="1"/>
        <v>0</v>
      </c>
      <c r="I52" s="1">
        <f t="shared" si="2"/>
        <v>0</v>
      </c>
    </row>
    <row r="53" spans="1:9">
      <c r="A53" s="10" t="s">
        <v>61</v>
      </c>
      <c r="B53" s="12">
        <v>1108272.6399999999</v>
      </c>
      <c r="C53" s="11"/>
      <c r="E53" s="1">
        <f>+IFERROR(VLOOKUP(A53,'TB MAIN'!$A$4:$J$541,7,0),0)</f>
        <v>1108272.6399999999</v>
      </c>
      <c r="F53" s="1">
        <f>+IFERROR(VLOOKUP(A53,'TB MAIN'!$A$4:$J$541,10,0),0)</f>
        <v>0</v>
      </c>
      <c r="G53" s="1">
        <f t="shared" si="0"/>
        <v>0</v>
      </c>
      <c r="H53" s="1">
        <f t="shared" si="1"/>
        <v>0</v>
      </c>
      <c r="I53" s="1">
        <f t="shared" si="2"/>
        <v>0</v>
      </c>
    </row>
    <row r="54" spans="1:9" ht="15" customHeight="1">
      <c r="A54" s="10" t="s">
        <v>62</v>
      </c>
      <c r="B54" s="11"/>
      <c r="C54" s="12">
        <v>7300</v>
      </c>
      <c r="E54" s="1">
        <f>+IFERROR(VLOOKUP(A54,'TB MAIN'!$A$4:$J$541,7,0),0)</f>
        <v>0</v>
      </c>
      <c r="F54" s="1">
        <f>+IFERROR(VLOOKUP(A54,'TB MAIN'!$A$4:$J$541,10,0),0)</f>
        <v>7300</v>
      </c>
      <c r="G54" s="1">
        <f t="shared" si="0"/>
        <v>0</v>
      </c>
      <c r="H54" s="1">
        <f t="shared" si="1"/>
        <v>0</v>
      </c>
      <c r="I54" s="1">
        <f t="shared" si="2"/>
        <v>0</v>
      </c>
    </row>
    <row r="55" spans="1:9" ht="15" customHeight="1">
      <c r="A55" s="10" t="s">
        <v>63</v>
      </c>
      <c r="B55" s="11"/>
      <c r="C55" s="12">
        <v>173652</v>
      </c>
      <c r="E55" s="1">
        <f>+IFERROR(VLOOKUP(A55,'TB MAIN'!$A$4:$J$541,7,0),0)</f>
        <v>0</v>
      </c>
      <c r="F55" s="1">
        <f>+IFERROR(VLOOKUP(A55,'TB MAIN'!$A$4:$J$541,10,0),0)</f>
        <v>173652</v>
      </c>
      <c r="G55" s="1">
        <f t="shared" si="0"/>
        <v>0</v>
      </c>
      <c r="H55" s="1">
        <f t="shared" si="1"/>
        <v>0</v>
      </c>
      <c r="I55" s="1">
        <f t="shared" si="2"/>
        <v>0</v>
      </c>
    </row>
    <row r="56" spans="1:9" ht="15" customHeight="1">
      <c r="A56" s="10" t="s">
        <v>64</v>
      </c>
      <c r="B56" s="12">
        <v>2655823</v>
      </c>
      <c r="C56" s="11"/>
      <c r="E56" s="1">
        <f>+IFERROR(VLOOKUP(A56,'TB MAIN'!$A$4:$J$541,7,0),0)</f>
        <v>2655823</v>
      </c>
      <c r="F56" s="1">
        <f>+IFERROR(VLOOKUP(A56,'TB MAIN'!$A$4:$J$541,10,0),0)</f>
        <v>0</v>
      </c>
      <c r="G56" s="1">
        <f t="shared" si="0"/>
        <v>0</v>
      </c>
      <c r="H56" s="1">
        <f t="shared" si="1"/>
        <v>0</v>
      </c>
      <c r="I56" s="1">
        <f t="shared" si="2"/>
        <v>0</v>
      </c>
    </row>
    <row r="57" spans="1:9" ht="15" customHeight="1">
      <c r="A57" s="10" t="s">
        <v>65</v>
      </c>
      <c r="B57" s="12">
        <v>4304700</v>
      </c>
      <c r="C57" s="11"/>
      <c r="E57" s="1">
        <f>+IFERROR(VLOOKUP(A57,'TB MAIN'!$A$4:$J$541,7,0),0)</f>
        <v>4304700</v>
      </c>
      <c r="F57" s="1">
        <f>+IFERROR(VLOOKUP(A57,'TB MAIN'!$A$4:$J$541,10,0),0)</f>
        <v>0</v>
      </c>
      <c r="G57" s="1">
        <f t="shared" si="0"/>
        <v>0</v>
      </c>
      <c r="H57" s="1">
        <f t="shared" si="1"/>
        <v>0</v>
      </c>
      <c r="I57" s="1">
        <f t="shared" si="2"/>
        <v>0</v>
      </c>
    </row>
    <row r="58" spans="1:9" ht="15" customHeight="1">
      <c r="A58" s="10" t="s">
        <v>66</v>
      </c>
      <c r="B58" s="12">
        <v>7000</v>
      </c>
      <c r="C58" s="11"/>
      <c r="E58" s="1">
        <f>+IFERROR(VLOOKUP(A58,'TB MAIN'!$A$4:$J$541,7,0),0)</f>
        <v>7000</v>
      </c>
      <c r="F58" s="1">
        <f>+IFERROR(VLOOKUP(A58,'TB MAIN'!$A$4:$J$541,10,0),0)</f>
        <v>0</v>
      </c>
      <c r="G58" s="1">
        <f t="shared" si="0"/>
        <v>0</v>
      </c>
      <c r="H58" s="1">
        <f t="shared" si="1"/>
        <v>0</v>
      </c>
      <c r="I58" s="1">
        <f t="shared" si="2"/>
        <v>0</v>
      </c>
    </row>
    <row r="59" spans="1:9" ht="15" customHeight="1">
      <c r="A59" s="10" t="s">
        <v>67</v>
      </c>
      <c r="B59" s="12">
        <v>41533028.75</v>
      </c>
      <c r="C59" s="11"/>
      <c r="E59" s="1">
        <f>+IFERROR(VLOOKUP(A59,'TB MAIN'!$A$4:$J$541,7,0),0)</f>
        <v>41533028.75</v>
      </c>
      <c r="F59" s="1">
        <f>+IFERROR(VLOOKUP(A59,'TB MAIN'!$A$4:$J$541,10,0),0)</f>
        <v>0</v>
      </c>
      <c r="G59" s="1">
        <f t="shared" si="0"/>
        <v>0</v>
      </c>
      <c r="H59" s="1">
        <f t="shared" si="1"/>
        <v>0</v>
      </c>
      <c r="I59" s="1">
        <f t="shared" si="2"/>
        <v>0</v>
      </c>
    </row>
    <row r="60" spans="1:9" ht="15" customHeight="1">
      <c r="A60" s="10" t="s">
        <v>68</v>
      </c>
      <c r="B60" s="12">
        <v>886060</v>
      </c>
      <c r="C60" s="11"/>
      <c r="E60" s="1">
        <f>+IFERROR(VLOOKUP(A60,'TB MAIN'!$A$4:$J$541,7,0),0)</f>
        <v>886060</v>
      </c>
      <c r="F60" s="1">
        <f>+IFERROR(VLOOKUP(A60,'TB MAIN'!$A$4:$J$541,10,0),0)</f>
        <v>0</v>
      </c>
      <c r="G60" s="1">
        <f t="shared" si="0"/>
        <v>0</v>
      </c>
      <c r="H60" s="1">
        <f t="shared" si="1"/>
        <v>0</v>
      </c>
      <c r="I60" s="1">
        <f t="shared" si="2"/>
        <v>0</v>
      </c>
    </row>
    <row r="61" spans="1:9" ht="15" customHeight="1">
      <c r="A61" s="10" t="s">
        <v>70</v>
      </c>
      <c r="B61" s="12">
        <v>48514808.600000001</v>
      </c>
      <c r="C61" s="11"/>
      <c r="E61" s="1">
        <f>+IFERROR(VLOOKUP(A61,'TB MAIN'!$A$4:$J$541,7,0),0)</f>
        <v>48514808.600000001</v>
      </c>
      <c r="F61" s="1">
        <f>+IFERROR(VLOOKUP(A61,'TB MAIN'!$A$4:$J$541,10,0),0)</f>
        <v>0</v>
      </c>
      <c r="G61" s="1">
        <f t="shared" si="0"/>
        <v>0</v>
      </c>
      <c r="H61" s="1">
        <f t="shared" si="1"/>
        <v>0</v>
      </c>
      <c r="I61" s="1">
        <f t="shared" si="2"/>
        <v>0</v>
      </c>
    </row>
    <row r="62" spans="1:9" ht="15" customHeight="1">
      <c r="A62" s="10" t="s">
        <v>71</v>
      </c>
      <c r="B62" s="12">
        <v>219361</v>
      </c>
      <c r="C62" s="11"/>
      <c r="E62" s="1">
        <f>+IFERROR(VLOOKUP(A62,'TB MAIN'!$A$4:$J$541,7,0),0)</f>
        <v>219361</v>
      </c>
      <c r="F62" s="1">
        <f>+IFERROR(VLOOKUP(A62,'TB MAIN'!$A$4:$J$541,10,0),0)</f>
        <v>0</v>
      </c>
      <c r="G62" s="1">
        <f t="shared" si="0"/>
        <v>0</v>
      </c>
      <c r="H62" s="1">
        <f t="shared" si="1"/>
        <v>0</v>
      </c>
      <c r="I62" s="1">
        <f t="shared" si="2"/>
        <v>0</v>
      </c>
    </row>
    <row r="63" spans="1:9" ht="15" customHeight="1">
      <c r="A63" s="10" t="s">
        <v>72</v>
      </c>
      <c r="B63" s="12">
        <v>923225</v>
      </c>
      <c r="C63" s="11"/>
      <c r="E63" s="1">
        <f>+IFERROR(VLOOKUP(A63,'TB MAIN'!$A$4:$J$541,7,0),0)</f>
        <v>923225</v>
      </c>
      <c r="F63" s="1">
        <f>+IFERROR(VLOOKUP(A63,'TB MAIN'!$A$4:$J$541,10,0),0)</f>
        <v>0</v>
      </c>
      <c r="G63" s="1">
        <f t="shared" si="0"/>
        <v>0</v>
      </c>
      <c r="H63" s="1">
        <f t="shared" si="1"/>
        <v>0</v>
      </c>
      <c r="I63" s="1">
        <f t="shared" si="2"/>
        <v>0</v>
      </c>
    </row>
    <row r="64" spans="1:9" ht="15" customHeight="1">
      <c r="A64" s="10" t="s">
        <v>73</v>
      </c>
      <c r="B64" s="12">
        <v>44460025.039999999</v>
      </c>
      <c r="C64" s="11"/>
      <c r="E64" s="1">
        <f>+IFERROR(VLOOKUP(A64,'TB MAIN'!$A$4:$J$541,7,0),0)</f>
        <v>44460025.039999999</v>
      </c>
      <c r="F64" s="1">
        <f>+IFERROR(VLOOKUP(A64,'TB MAIN'!$A$4:$J$541,10,0),0)</f>
        <v>0</v>
      </c>
      <c r="G64" s="1">
        <f t="shared" si="0"/>
        <v>0</v>
      </c>
      <c r="H64" s="1">
        <f t="shared" si="1"/>
        <v>0</v>
      </c>
      <c r="I64" s="1">
        <f t="shared" si="2"/>
        <v>0</v>
      </c>
    </row>
    <row r="65" spans="1:9" ht="15" customHeight="1">
      <c r="A65" s="10" t="s">
        <v>74</v>
      </c>
      <c r="B65" s="12">
        <v>38030</v>
      </c>
      <c r="C65" s="11"/>
      <c r="E65" s="1">
        <f>+IFERROR(VLOOKUP(A65,'TB MAIN'!$A$4:$J$541,7,0),0)</f>
        <v>38030</v>
      </c>
      <c r="F65" s="1">
        <f>+IFERROR(VLOOKUP(A65,'TB MAIN'!$A$4:$J$541,10,0),0)</f>
        <v>0</v>
      </c>
      <c r="G65" s="1">
        <f t="shared" si="0"/>
        <v>0</v>
      </c>
      <c r="H65" s="1">
        <f t="shared" si="1"/>
        <v>0</v>
      </c>
      <c r="I65" s="1">
        <f t="shared" si="2"/>
        <v>0</v>
      </c>
    </row>
    <row r="66" spans="1:9" ht="15" customHeight="1">
      <c r="A66" s="10" t="s">
        <v>75</v>
      </c>
      <c r="B66" s="12">
        <v>1723504</v>
      </c>
      <c r="C66" s="11"/>
      <c r="E66" s="1">
        <f>+IFERROR(VLOOKUP(A66,'TB MAIN'!$A$4:$J$541,7,0),0)</f>
        <v>1723504</v>
      </c>
      <c r="F66" s="1">
        <f>+IFERROR(VLOOKUP(A66,'TB MAIN'!$A$4:$J$541,10,0),0)</f>
        <v>0</v>
      </c>
      <c r="G66" s="1">
        <f t="shared" si="0"/>
        <v>0</v>
      </c>
      <c r="H66" s="1">
        <f t="shared" si="1"/>
        <v>0</v>
      </c>
      <c r="I66" s="1">
        <f t="shared" si="2"/>
        <v>0</v>
      </c>
    </row>
    <row r="67" spans="1:9" ht="15" customHeight="1">
      <c r="A67" s="10" t="s">
        <v>76</v>
      </c>
      <c r="B67" s="12">
        <v>1057200.7</v>
      </c>
      <c r="C67" s="11"/>
      <c r="E67" s="1">
        <f>+IFERROR(VLOOKUP(A67,'TB MAIN'!$A$4:$J$541,7,0),0)</f>
        <v>1057200.7</v>
      </c>
      <c r="F67" s="1">
        <f>+IFERROR(VLOOKUP(A67,'TB MAIN'!$A$4:$J$541,10,0),0)</f>
        <v>0</v>
      </c>
      <c r="G67" s="1">
        <f t="shared" si="0"/>
        <v>0</v>
      </c>
      <c r="H67" s="1">
        <f t="shared" si="1"/>
        <v>0</v>
      </c>
      <c r="I67" s="1">
        <f t="shared" si="2"/>
        <v>0</v>
      </c>
    </row>
    <row r="68" spans="1:9" ht="15" customHeight="1">
      <c r="A68" s="10" t="s">
        <v>77</v>
      </c>
      <c r="B68" s="12">
        <v>7000</v>
      </c>
      <c r="C68" s="11"/>
      <c r="E68" s="1">
        <f>+IFERROR(VLOOKUP(A68,'TB MAIN'!$A$4:$J$541,7,0),0)</f>
        <v>7000</v>
      </c>
      <c r="F68" s="1">
        <f>+IFERROR(VLOOKUP(A68,'TB MAIN'!$A$4:$J$541,10,0),0)</f>
        <v>0</v>
      </c>
      <c r="G68" s="1">
        <f t="shared" si="0"/>
        <v>0</v>
      </c>
      <c r="H68" s="1">
        <f t="shared" si="1"/>
        <v>0</v>
      </c>
      <c r="I68" s="1">
        <f t="shared" si="2"/>
        <v>0</v>
      </c>
    </row>
    <row r="69" spans="1:9" ht="15" customHeight="1">
      <c r="A69" s="10" t="s">
        <v>78</v>
      </c>
      <c r="B69" s="12">
        <v>42915.89</v>
      </c>
      <c r="C69" s="11"/>
      <c r="E69" s="1">
        <f>+IFERROR(VLOOKUP(A69,'TB MAIN'!$A$4:$J$541,7,0),0)</f>
        <v>42915.89</v>
      </c>
      <c r="F69" s="1">
        <f>+IFERROR(VLOOKUP(A69,'TB MAIN'!$A$4:$J$541,10,0),0)</f>
        <v>0</v>
      </c>
      <c r="G69" s="1">
        <f t="shared" si="0"/>
        <v>0</v>
      </c>
      <c r="H69" s="1">
        <f t="shared" si="1"/>
        <v>0</v>
      </c>
      <c r="I69" s="1">
        <f t="shared" si="2"/>
        <v>0</v>
      </c>
    </row>
    <row r="70" spans="1:9" ht="15" customHeight="1">
      <c r="A70" s="10" t="s">
        <v>79</v>
      </c>
      <c r="B70" s="11"/>
      <c r="C70" s="12">
        <v>21838</v>
      </c>
      <c r="E70" s="1">
        <f>+IFERROR(VLOOKUP(A70,'TB MAIN'!$A$4:$J$541,7,0),0)</f>
        <v>0</v>
      </c>
      <c r="F70" s="1">
        <f>+IFERROR(VLOOKUP(A70,'TB MAIN'!$A$4:$J$541,10,0),0)</f>
        <v>21838</v>
      </c>
      <c r="G70" s="1">
        <f t="shared" si="0"/>
        <v>0</v>
      </c>
      <c r="H70" s="1">
        <f t="shared" si="1"/>
        <v>0</v>
      </c>
      <c r="I70" s="1">
        <f t="shared" si="2"/>
        <v>0</v>
      </c>
    </row>
    <row r="71" spans="1:9" ht="15" customHeight="1">
      <c r="A71" s="10" t="s">
        <v>80</v>
      </c>
      <c r="B71" s="11"/>
      <c r="C71" s="12">
        <v>184366</v>
      </c>
      <c r="E71" s="1">
        <f>+IFERROR(VLOOKUP(A71,'TB MAIN'!$A$4:$J$541,7,0),0)</f>
        <v>0</v>
      </c>
      <c r="F71" s="1">
        <f>+IFERROR(VLOOKUP(A71,'TB MAIN'!$A$4:$J$541,10,0),0)</f>
        <v>184366</v>
      </c>
      <c r="G71" s="1">
        <f t="shared" si="0"/>
        <v>0</v>
      </c>
      <c r="H71" s="1">
        <f t="shared" si="1"/>
        <v>0</v>
      </c>
      <c r="I71" s="1">
        <f t="shared" si="2"/>
        <v>0</v>
      </c>
    </row>
    <row r="72" spans="1:9" ht="15" customHeight="1">
      <c r="A72" s="10" t="s">
        <v>81</v>
      </c>
      <c r="B72" s="12">
        <v>28640</v>
      </c>
      <c r="C72" s="11"/>
      <c r="E72" s="1">
        <f>+IFERROR(VLOOKUP(A72,'TB MAIN'!$A$4:$J$541,7,0),0)</f>
        <v>28640</v>
      </c>
      <c r="F72" s="1">
        <f>+IFERROR(VLOOKUP(A72,'TB MAIN'!$A$4:$J$541,10,0),0)</f>
        <v>0</v>
      </c>
      <c r="G72" s="1">
        <f t="shared" si="0"/>
        <v>0</v>
      </c>
      <c r="H72" s="1">
        <f t="shared" si="1"/>
        <v>0</v>
      </c>
      <c r="I72" s="1">
        <f t="shared" si="2"/>
        <v>0</v>
      </c>
    </row>
    <row r="73" spans="1:9" ht="15" customHeight="1">
      <c r="A73" s="10" t="s">
        <v>82</v>
      </c>
      <c r="B73" s="12">
        <v>45845</v>
      </c>
      <c r="C73" s="11"/>
      <c r="E73" s="1">
        <f>+IFERROR(VLOOKUP(A73,'TB MAIN'!$A$4:$J$541,7,0),0)</f>
        <v>45845</v>
      </c>
      <c r="F73" s="1">
        <f>+IFERROR(VLOOKUP(A73,'TB MAIN'!$A$4:$J$541,10,0),0)</f>
        <v>0</v>
      </c>
      <c r="G73" s="1">
        <f t="shared" si="0"/>
        <v>0</v>
      </c>
      <c r="H73" s="1">
        <f t="shared" si="1"/>
        <v>0</v>
      </c>
      <c r="I73" s="1">
        <f t="shared" si="2"/>
        <v>0</v>
      </c>
    </row>
    <row r="74" spans="1:9" ht="15" customHeight="1">
      <c r="A74" s="10" t="s">
        <v>83</v>
      </c>
      <c r="B74" s="12">
        <v>2786944</v>
      </c>
      <c r="C74" s="11"/>
      <c r="E74" s="1">
        <f>+IFERROR(VLOOKUP(A74,'TB MAIN'!$A$4:$J$541,7,0),0)</f>
        <v>2786944</v>
      </c>
      <c r="F74" s="1">
        <f>+IFERROR(VLOOKUP(A74,'TB MAIN'!$A$4:$J$541,10,0),0)</f>
        <v>0</v>
      </c>
      <c r="G74" s="1">
        <f t="shared" si="0"/>
        <v>0</v>
      </c>
      <c r="H74" s="1">
        <f t="shared" si="1"/>
        <v>0</v>
      </c>
      <c r="I74" s="1">
        <f t="shared" si="2"/>
        <v>0</v>
      </c>
    </row>
    <row r="75" spans="1:9" ht="15" customHeight="1">
      <c r="A75" s="10" t="s">
        <v>84</v>
      </c>
      <c r="B75" s="12">
        <v>60454</v>
      </c>
      <c r="C75" s="11"/>
      <c r="E75" s="1">
        <f>+IFERROR(VLOOKUP(A75,'TB MAIN'!$A$4:$J$541,7,0),0)</f>
        <v>60454</v>
      </c>
      <c r="F75" s="1">
        <f>+IFERROR(VLOOKUP(A75,'TB MAIN'!$A$4:$J$541,10,0),0)</f>
        <v>0</v>
      </c>
      <c r="G75" s="1">
        <f t="shared" si="0"/>
        <v>0</v>
      </c>
      <c r="H75" s="1">
        <f t="shared" si="1"/>
        <v>0</v>
      </c>
      <c r="I75" s="1">
        <f t="shared" si="2"/>
        <v>0</v>
      </c>
    </row>
    <row r="76" spans="1:9" ht="15" customHeight="1">
      <c r="A76" s="10" t="s">
        <v>85</v>
      </c>
      <c r="B76" s="12">
        <v>380250</v>
      </c>
      <c r="C76" s="11"/>
      <c r="E76" s="1">
        <f>+IFERROR(VLOOKUP(A76,'TB MAIN'!$A$4:$J$541,7,0),0)</f>
        <v>380250</v>
      </c>
      <c r="F76" s="1">
        <f>+IFERROR(VLOOKUP(A76,'TB MAIN'!$A$4:$J$541,10,0),0)</f>
        <v>0</v>
      </c>
      <c r="G76" s="1">
        <f t="shared" si="0"/>
        <v>0</v>
      </c>
      <c r="H76" s="1">
        <f t="shared" si="1"/>
        <v>0</v>
      </c>
      <c r="I76" s="1">
        <f t="shared" si="2"/>
        <v>0</v>
      </c>
    </row>
    <row r="77" spans="1:9" ht="15" customHeight="1">
      <c r="A77" s="10" t="s">
        <v>86</v>
      </c>
      <c r="B77" s="12">
        <v>2500</v>
      </c>
      <c r="C77" s="11"/>
      <c r="E77" s="1">
        <f>+IFERROR(VLOOKUP(A77,'TB MAIN'!$A$4:$J$541,7,0),0)</f>
        <v>2500</v>
      </c>
      <c r="F77" s="1">
        <f>+IFERROR(VLOOKUP(A77,'TB MAIN'!$A$4:$J$541,10,0),0)</f>
        <v>0</v>
      </c>
      <c r="G77" s="1">
        <f t="shared" ref="G77:G140" si="3">+B77-E77</f>
        <v>0</v>
      </c>
      <c r="H77" s="1">
        <f t="shared" ref="H77:H140" si="4">+C77-F77</f>
        <v>0</v>
      </c>
      <c r="I77" s="1">
        <f t="shared" ref="I77:I140" si="5">+G77+H77</f>
        <v>0</v>
      </c>
    </row>
    <row r="78" spans="1:9" ht="15" customHeight="1">
      <c r="A78" s="10" t="s">
        <v>87</v>
      </c>
      <c r="B78" s="11"/>
      <c r="C78" s="12">
        <v>2430503</v>
      </c>
      <c r="E78" s="1">
        <f>+IFERROR(VLOOKUP(A78,'TB MAIN'!$A$4:$J$541,7,0),0)</f>
        <v>0</v>
      </c>
      <c r="F78" s="1">
        <f>+IFERROR(VLOOKUP(A78,'TB MAIN'!$A$4:$J$541,10,0),0)</f>
        <v>2430503</v>
      </c>
      <c r="G78" s="1">
        <f t="shared" si="3"/>
        <v>0</v>
      </c>
      <c r="H78" s="1">
        <f t="shared" si="4"/>
        <v>0</v>
      </c>
      <c r="I78" s="1">
        <f t="shared" si="5"/>
        <v>0</v>
      </c>
    </row>
    <row r="79" spans="1:9" ht="15" customHeight="1">
      <c r="A79" s="10" t="s">
        <v>88</v>
      </c>
      <c r="B79" s="11"/>
      <c r="C79" s="12">
        <v>20113961</v>
      </c>
      <c r="E79" s="1">
        <f>+IFERROR(VLOOKUP(A79,'TB MAIN'!$A$4:$J$541,7,0),0)</f>
        <v>0</v>
      </c>
      <c r="F79" s="1">
        <f>+IFERROR(VLOOKUP(A79,'TB MAIN'!$A$4:$J$541,10,0),0)</f>
        <v>20113961</v>
      </c>
      <c r="G79" s="1">
        <f t="shared" si="3"/>
        <v>0</v>
      </c>
      <c r="H79" s="1">
        <f t="shared" si="4"/>
        <v>0</v>
      </c>
      <c r="I79" s="1">
        <f t="shared" si="5"/>
        <v>0</v>
      </c>
    </row>
    <row r="80" spans="1:9" ht="15" customHeight="1">
      <c r="A80" s="10" t="s">
        <v>89</v>
      </c>
      <c r="B80" s="12">
        <v>1137100</v>
      </c>
      <c r="C80" s="11"/>
      <c r="E80" s="1">
        <f>+IFERROR(VLOOKUP(A80,'TB MAIN'!$A$4:$J$541,7,0),0)</f>
        <v>1137100</v>
      </c>
      <c r="F80" s="1">
        <f>+IFERROR(VLOOKUP(A80,'TB MAIN'!$A$4:$J$541,10,0),0)</f>
        <v>0</v>
      </c>
      <c r="G80" s="1">
        <f t="shared" si="3"/>
        <v>0</v>
      </c>
      <c r="H80" s="1">
        <f t="shared" si="4"/>
        <v>0</v>
      </c>
      <c r="I80" s="1">
        <f t="shared" si="5"/>
        <v>0</v>
      </c>
    </row>
    <row r="81" spans="1:9" ht="15" customHeight="1">
      <c r="A81" s="10" t="s">
        <v>90</v>
      </c>
      <c r="B81" s="12">
        <v>6800</v>
      </c>
      <c r="C81" s="11"/>
      <c r="E81" s="1">
        <f>+IFERROR(VLOOKUP(A81,'TB MAIN'!$A$4:$J$541,7,0),0)</f>
        <v>6800</v>
      </c>
      <c r="F81" s="1">
        <f>+IFERROR(VLOOKUP(A81,'TB MAIN'!$A$4:$J$541,10,0),0)</f>
        <v>0</v>
      </c>
      <c r="G81" s="1">
        <f t="shared" si="3"/>
        <v>0</v>
      </c>
      <c r="H81" s="1">
        <f t="shared" si="4"/>
        <v>0</v>
      </c>
      <c r="I81" s="1">
        <f t="shared" si="5"/>
        <v>0</v>
      </c>
    </row>
    <row r="82" spans="1:9" ht="15" customHeight="1">
      <c r="A82" s="10" t="s">
        <v>91</v>
      </c>
      <c r="B82" s="12">
        <v>200000</v>
      </c>
      <c r="C82" s="11"/>
      <c r="E82" s="1">
        <f>+IFERROR(VLOOKUP(A82,'TB MAIN'!$A$4:$J$541,7,0),0)</f>
        <v>200000</v>
      </c>
      <c r="F82" s="1">
        <f>+IFERROR(VLOOKUP(A82,'TB MAIN'!$A$4:$J$541,10,0),0)</f>
        <v>0</v>
      </c>
      <c r="G82" s="1">
        <f t="shared" si="3"/>
        <v>0</v>
      </c>
      <c r="H82" s="1">
        <f t="shared" si="4"/>
        <v>0</v>
      </c>
      <c r="I82" s="1">
        <f t="shared" si="5"/>
        <v>0</v>
      </c>
    </row>
    <row r="83" spans="1:9" ht="15" customHeight="1">
      <c r="A83" s="10" t="s">
        <v>92</v>
      </c>
      <c r="B83" s="12">
        <v>9500</v>
      </c>
      <c r="C83" s="11"/>
      <c r="E83" s="1">
        <f>+IFERROR(VLOOKUP(A83,'TB MAIN'!$A$4:$J$541,7,0),0)</f>
        <v>9500</v>
      </c>
      <c r="F83" s="1">
        <f>+IFERROR(VLOOKUP(A83,'TB MAIN'!$A$4:$J$541,10,0),0)</f>
        <v>0</v>
      </c>
      <c r="G83" s="1">
        <f t="shared" si="3"/>
        <v>0</v>
      </c>
      <c r="H83" s="1">
        <f t="shared" si="4"/>
        <v>0</v>
      </c>
      <c r="I83" s="1">
        <f t="shared" si="5"/>
        <v>0</v>
      </c>
    </row>
    <row r="84" spans="1:9" ht="15" customHeight="1">
      <c r="A84" s="10" t="s">
        <v>93</v>
      </c>
      <c r="B84" s="12">
        <v>4494616</v>
      </c>
      <c r="C84" s="11"/>
      <c r="E84" s="1">
        <f>+IFERROR(VLOOKUP(A84,'TB MAIN'!$A$4:$J$541,7,0),0)</f>
        <v>4494616</v>
      </c>
      <c r="F84" s="1">
        <f>+IFERROR(VLOOKUP(A84,'TB MAIN'!$A$4:$J$541,10,0),0)</f>
        <v>0</v>
      </c>
      <c r="G84" s="1">
        <f t="shared" si="3"/>
        <v>0</v>
      </c>
      <c r="H84" s="1">
        <f t="shared" si="4"/>
        <v>0</v>
      </c>
      <c r="I84" s="1">
        <f t="shared" si="5"/>
        <v>0</v>
      </c>
    </row>
    <row r="85" spans="1:9" ht="15" customHeight="1">
      <c r="A85" s="10" t="s">
        <v>94</v>
      </c>
      <c r="B85" s="12">
        <v>470000</v>
      </c>
      <c r="C85" s="11"/>
      <c r="E85" s="1">
        <f>+IFERROR(VLOOKUP(A85,'TB MAIN'!$A$4:$J$541,7,0),0)</f>
        <v>470000</v>
      </c>
      <c r="F85" s="1">
        <f>+IFERROR(VLOOKUP(A85,'TB MAIN'!$A$4:$J$541,10,0),0)</f>
        <v>0</v>
      </c>
      <c r="G85" s="1">
        <f t="shared" si="3"/>
        <v>0</v>
      </c>
      <c r="H85" s="1">
        <f t="shared" si="4"/>
        <v>0</v>
      </c>
      <c r="I85" s="1">
        <f t="shared" si="5"/>
        <v>0</v>
      </c>
    </row>
    <row r="86" spans="1:9" ht="15" customHeight="1">
      <c r="A86" s="10" t="s">
        <v>95</v>
      </c>
      <c r="B86" s="12">
        <v>248200</v>
      </c>
      <c r="C86" s="11"/>
      <c r="E86" s="1">
        <f>+IFERROR(VLOOKUP(A86,'TB MAIN'!$A$4:$J$541,7,0),0)</f>
        <v>248200</v>
      </c>
      <c r="F86" s="1">
        <f>+IFERROR(VLOOKUP(A86,'TB MAIN'!$A$4:$J$541,10,0),0)</f>
        <v>0</v>
      </c>
      <c r="G86" s="1">
        <f t="shared" si="3"/>
        <v>0</v>
      </c>
      <c r="H86" s="1">
        <f t="shared" si="4"/>
        <v>0</v>
      </c>
      <c r="I86" s="1">
        <f t="shared" si="5"/>
        <v>0</v>
      </c>
    </row>
    <row r="87" spans="1:9" ht="15" customHeight="1">
      <c r="A87" s="10" t="s">
        <v>96</v>
      </c>
      <c r="B87" s="12">
        <v>125000</v>
      </c>
      <c r="C87" s="11"/>
      <c r="E87" s="1">
        <f>+IFERROR(VLOOKUP(A87,'TB MAIN'!$A$4:$J$541,7,0),0)</f>
        <v>125000</v>
      </c>
      <c r="F87" s="1">
        <f>+IFERROR(VLOOKUP(A87,'TB MAIN'!$A$4:$J$541,10,0),0)</f>
        <v>0</v>
      </c>
      <c r="G87" s="1">
        <f t="shared" si="3"/>
        <v>0</v>
      </c>
      <c r="H87" s="1">
        <f t="shared" si="4"/>
        <v>0</v>
      </c>
      <c r="I87" s="1">
        <f t="shared" si="5"/>
        <v>0</v>
      </c>
    </row>
    <row r="88" spans="1:9" ht="15" customHeight="1">
      <c r="A88" s="10" t="s">
        <v>97</v>
      </c>
      <c r="B88" s="12">
        <v>1885458</v>
      </c>
      <c r="C88" s="11"/>
      <c r="E88" s="1">
        <f>+IFERROR(VLOOKUP(A88,'TB MAIN'!$A$4:$J$541,7,0),0)</f>
        <v>1885458</v>
      </c>
      <c r="F88" s="1">
        <f>+IFERROR(VLOOKUP(A88,'TB MAIN'!$A$4:$J$541,10,0),0)</f>
        <v>0</v>
      </c>
      <c r="G88" s="1">
        <f t="shared" si="3"/>
        <v>0</v>
      </c>
      <c r="H88" s="1">
        <f t="shared" si="4"/>
        <v>0</v>
      </c>
      <c r="I88" s="1">
        <f t="shared" si="5"/>
        <v>0</v>
      </c>
    </row>
    <row r="89" spans="1:9" ht="15" customHeight="1">
      <c r="A89" s="10" t="s">
        <v>98</v>
      </c>
      <c r="B89" s="12">
        <v>1743151</v>
      </c>
      <c r="C89" s="11"/>
      <c r="E89" s="1">
        <f>+IFERROR(VLOOKUP(A89,'TB MAIN'!$A$4:$J$541,7,0),0)</f>
        <v>1743151</v>
      </c>
      <c r="F89" s="1">
        <f>+IFERROR(VLOOKUP(A89,'TB MAIN'!$A$4:$J$541,10,0),0)</f>
        <v>0</v>
      </c>
      <c r="G89" s="1">
        <f t="shared" si="3"/>
        <v>0</v>
      </c>
      <c r="H89" s="1">
        <f t="shared" si="4"/>
        <v>0</v>
      </c>
      <c r="I89" s="1">
        <f t="shared" si="5"/>
        <v>0</v>
      </c>
    </row>
    <row r="90" spans="1:9" ht="15" customHeight="1">
      <c r="A90" s="10" t="s">
        <v>99</v>
      </c>
      <c r="B90" s="12">
        <v>92736</v>
      </c>
      <c r="C90" s="11"/>
      <c r="E90" s="1">
        <f>+IFERROR(VLOOKUP(A90,'TB MAIN'!$A$4:$J$541,7,0),0)</f>
        <v>92736</v>
      </c>
      <c r="F90" s="1">
        <f>+IFERROR(VLOOKUP(A90,'TB MAIN'!$A$4:$J$541,10,0),0)</f>
        <v>0</v>
      </c>
      <c r="G90" s="1">
        <f t="shared" si="3"/>
        <v>0</v>
      </c>
      <c r="H90" s="1">
        <f t="shared" si="4"/>
        <v>0</v>
      </c>
      <c r="I90" s="1">
        <f t="shared" si="5"/>
        <v>0</v>
      </c>
    </row>
    <row r="91" spans="1:9" ht="15" customHeight="1">
      <c r="A91" s="10" t="s">
        <v>100</v>
      </c>
      <c r="B91" s="12">
        <v>57979</v>
      </c>
      <c r="C91" s="11"/>
      <c r="E91" s="1">
        <f>+IFERROR(VLOOKUP(A91,'TB MAIN'!$A$4:$J$541,7,0),0)</f>
        <v>57979</v>
      </c>
      <c r="F91" s="1">
        <f>+IFERROR(VLOOKUP(A91,'TB MAIN'!$A$4:$J$541,10,0),0)</f>
        <v>0</v>
      </c>
      <c r="G91" s="1">
        <f t="shared" si="3"/>
        <v>0</v>
      </c>
      <c r="H91" s="1">
        <f t="shared" si="4"/>
        <v>0</v>
      </c>
      <c r="I91" s="1">
        <f t="shared" si="5"/>
        <v>0</v>
      </c>
    </row>
    <row r="92" spans="1:9" ht="15" customHeight="1">
      <c r="A92" s="10" t="s">
        <v>101</v>
      </c>
      <c r="B92" s="12">
        <v>24077</v>
      </c>
      <c r="C92" s="11"/>
      <c r="E92" s="1">
        <f>+IFERROR(VLOOKUP(A92,'TB MAIN'!$A$4:$J$541,7,0),0)</f>
        <v>24077</v>
      </c>
      <c r="F92" s="1">
        <f>+IFERROR(VLOOKUP(A92,'TB MAIN'!$A$4:$J$541,10,0),0)</f>
        <v>0</v>
      </c>
      <c r="G92" s="1">
        <f t="shared" si="3"/>
        <v>0</v>
      </c>
      <c r="H92" s="1">
        <f t="shared" si="4"/>
        <v>0</v>
      </c>
      <c r="I92" s="1">
        <f t="shared" si="5"/>
        <v>0</v>
      </c>
    </row>
    <row r="93" spans="1:9" ht="15" customHeight="1">
      <c r="A93" s="10" t="s">
        <v>102</v>
      </c>
      <c r="B93" s="12">
        <v>13101740</v>
      </c>
      <c r="C93" s="11"/>
      <c r="E93" s="1">
        <f>+IFERROR(VLOOKUP(A93,'TB MAIN'!$A$4:$J$541,7,0),0)</f>
        <v>13101740</v>
      </c>
      <c r="F93" s="1">
        <f>+IFERROR(VLOOKUP(A93,'TB MAIN'!$A$4:$J$541,10,0),0)</f>
        <v>0</v>
      </c>
      <c r="G93" s="1">
        <f t="shared" si="3"/>
        <v>0</v>
      </c>
      <c r="H93" s="1">
        <f t="shared" si="4"/>
        <v>0</v>
      </c>
      <c r="I93" s="1">
        <f t="shared" si="5"/>
        <v>0</v>
      </c>
    </row>
    <row r="94" spans="1:9" ht="15" customHeight="1">
      <c r="A94" s="10" t="s">
        <v>103</v>
      </c>
      <c r="B94" s="12">
        <v>287798</v>
      </c>
      <c r="C94" s="11"/>
      <c r="E94" s="1">
        <f>+IFERROR(VLOOKUP(A94,'TB MAIN'!$A$4:$J$541,7,0),0)</f>
        <v>287798</v>
      </c>
      <c r="F94" s="1">
        <f>+IFERROR(VLOOKUP(A94,'TB MAIN'!$A$4:$J$541,10,0),0)</f>
        <v>0</v>
      </c>
      <c r="G94" s="1">
        <f t="shared" si="3"/>
        <v>0</v>
      </c>
      <c r="H94" s="1">
        <f t="shared" si="4"/>
        <v>0</v>
      </c>
      <c r="I94" s="1">
        <f t="shared" si="5"/>
        <v>0</v>
      </c>
    </row>
    <row r="95" spans="1:9" ht="15" customHeight="1">
      <c r="A95" s="10" t="s">
        <v>104</v>
      </c>
      <c r="B95" s="11"/>
      <c r="C95" s="12">
        <v>10037</v>
      </c>
      <c r="E95" s="1">
        <f>+IFERROR(VLOOKUP(A95,'TB MAIN'!$A$4:$J$541,7,0),0)</f>
        <v>0</v>
      </c>
      <c r="F95" s="1">
        <f>+IFERROR(VLOOKUP(A95,'TB MAIN'!$A$4:$J$541,10,0),0)</f>
        <v>10037</v>
      </c>
      <c r="G95" s="1">
        <f t="shared" si="3"/>
        <v>0</v>
      </c>
      <c r="H95" s="1">
        <f t="shared" si="4"/>
        <v>0</v>
      </c>
      <c r="I95" s="1">
        <f t="shared" si="5"/>
        <v>0</v>
      </c>
    </row>
    <row r="96" spans="1:9" ht="15" customHeight="1">
      <c r="A96" s="10" t="s">
        <v>105</v>
      </c>
      <c r="B96" s="11"/>
      <c r="C96" s="12">
        <v>29160</v>
      </c>
      <c r="E96" s="1">
        <f>+IFERROR(VLOOKUP(A96,'TB MAIN'!$A$4:$J$541,7,0),0)</f>
        <v>0</v>
      </c>
      <c r="F96" s="1">
        <f>+IFERROR(VLOOKUP(A96,'TB MAIN'!$A$4:$J$541,10,0),0)</f>
        <v>29160</v>
      </c>
      <c r="G96" s="1">
        <f t="shared" si="3"/>
        <v>0</v>
      </c>
      <c r="H96" s="1">
        <f t="shared" si="4"/>
        <v>0</v>
      </c>
      <c r="I96" s="1">
        <f t="shared" si="5"/>
        <v>0</v>
      </c>
    </row>
    <row r="97" spans="1:9" ht="15" customHeight="1">
      <c r="A97" s="10" t="s">
        <v>106</v>
      </c>
      <c r="B97" s="12">
        <v>15000</v>
      </c>
      <c r="C97" s="11"/>
      <c r="E97" s="1">
        <f>+IFERROR(VLOOKUP(A97,'TB MAIN'!$A$4:$J$541,7,0),0)</f>
        <v>15000</v>
      </c>
      <c r="F97" s="1">
        <f>+IFERROR(VLOOKUP(A97,'TB MAIN'!$A$4:$J$541,10,0),0)</f>
        <v>0</v>
      </c>
      <c r="G97" s="1">
        <f t="shared" si="3"/>
        <v>0</v>
      </c>
      <c r="H97" s="1">
        <f t="shared" si="4"/>
        <v>0</v>
      </c>
      <c r="I97" s="1">
        <f t="shared" si="5"/>
        <v>0</v>
      </c>
    </row>
    <row r="98" spans="1:9" ht="15" customHeight="1">
      <c r="A98" s="10" t="s">
        <v>107</v>
      </c>
      <c r="B98" s="12">
        <v>30585779</v>
      </c>
      <c r="C98" s="11"/>
      <c r="E98" s="1">
        <f>+IFERROR(VLOOKUP(A98,'TB MAIN'!$A$4:$J$541,7,0),0)</f>
        <v>30585779</v>
      </c>
      <c r="F98" s="1">
        <f>+IFERROR(VLOOKUP(A98,'TB MAIN'!$A$4:$J$541,10,0),0)</f>
        <v>0</v>
      </c>
      <c r="G98" s="1">
        <f t="shared" si="3"/>
        <v>0</v>
      </c>
      <c r="H98" s="1">
        <f t="shared" si="4"/>
        <v>0</v>
      </c>
      <c r="I98" s="1">
        <f t="shared" si="5"/>
        <v>0</v>
      </c>
    </row>
    <row r="99" spans="1:9" ht="15" customHeight="1">
      <c r="A99" s="10" t="s">
        <v>108</v>
      </c>
      <c r="B99" s="11"/>
      <c r="C99" s="12">
        <v>49644.76</v>
      </c>
      <c r="E99" s="1">
        <f>+IFERROR(VLOOKUP(A99,'TB MAIN'!$A$4:$J$541,7,0),0)</f>
        <v>0</v>
      </c>
      <c r="F99" s="1">
        <f>+IFERROR(VLOOKUP(A99,'TB MAIN'!$A$4:$J$541,10,0),0)</f>
        <v>49644.76</v>
      </c>
      <c r="G99" s="1">
        <f t="shared" si="3"/>
        <v>0</v>
      </c>
      <c r="H99" s="1">
        <f t="shared" si="4"/>
        <v>0</v>
      </c>
      <c r="I99" s="1">
        <f t="shared" si="5"/>
        <v>0</v>
      </c>
    </row>
    <row r="100" spans="1:9" ht="15" customHeight="1">
      <c r="A100" s="10" t="s">
        <v>109</v>
      </c>
      <c r="B100" s="12">
        <v>13002</v>
      </c>
      <c r="C100" s="11"/>
      <c r="E100" s="1">
        <f>+IFERROR(VLOOKUP(A100,'TB MAIN'!$A$4:$J$541,7,0),0)</f>
        <v>13002</v>
      </c>
      <c r="F100" s="1">
        <f>+IFERROR(VLOOKUP(A100,'TB MAIN'!$A$4:$J$541,10,0),0)</f>
        <v>0</v>
      </c>
      <c r="G100" s="1">
        <f t="shared" si="3"/>
        <v>0</v>
      </c>
      <c r="H100" s="1">
        <f t="shared" si="4"/>
        <v>0</v>
      </c>
      <c r="I100" s="1">
        <f t="shared" si="5"/>
        <v>0</v>
      </c>
    </row>
    <row r="101" spans="1:9" ht="15" customHeight="1">
      <c r="A101" s="10" t="s">
        <v>110</v>
      </c>
      <c r="B101" s="12">
        <v>18000</v>
      </c>
      <c r="C101" s="11"/>
      <c r="E101" s="1">
        <f>+IFERROR(VLOOKUP(A101,'TB MAIN'!$A$4:$J$541,7,0),0)</f>
        <v>18000</v>
      </c>
      <c r="F101" s="1">
        <f>+IFERROR(VLOOKUP(A101,'TB MAIN'!$A$4:$J$541,10,0),0)</f>
        <v>0</v>
      </c>
      <c r="G101" s="1">
        <f t="shared" si="3"/>
        <v>0</v>
      </c>
      <c r="H101" s="1">
        <f t="shared" si="4"/>
        <v>0</v>
      </c>
      <c r="I101" s="1">
        <f t="shared" si="5"/>
        <v>0</v>
      </c>
    </row>
    <row r="102" spans="1:9" ht="15" customHeight="1">
      <c r="A102" s="10" t="s">
        <v>1857</v>
      </c>
      <c r="B102" s="12">
        <v>2384</v>
      </c>
      <c r="C102" s="11"/>
      <c r="E102" s="1">
        <f>+IFERROR(VLOOKUP(A102,'TB MAIN'!$A$4:$J$541,7,0),0)</f>
        <v>2384</v>
      </c>
      <c r="F102" s="1">
        <f>+IFERROR(VLOOKUP(A102,'TB MAIN'!$A$4:$J$541,10,0),0)</f>
        <v>0</v>
      </c>
      <c r="G102" s="1">
        <f t="shared" si="3"/>
        <v>0</v>
      </c>
      <c r="H102" s="1">
        <f t="shared" si="4"/>
        <v>0</v>
      </c>
      <c r="I102" s="1">
        <f t="shared" si="5"/>
        <v>0</v>
      </c>
    </row>
    <row r="103" spans="1:9" ht="15" customHeight="1">
      <c r="A103" s="10" t="s">
        <v>111</v>
      </c>
      <c r="B103" s="11"/>
      <c r="C103" s="12">
        <v>56640</v>
      </c>
      <c r="E103" s="1">
        <f>+IFERROR(VLOOKUP(A103,'TB MAIN'!$A$4:$J$541,7,0),0)</f>
        <v>0</v>
      </c>
      <c r="F103" s="1">
        <f>+IFERROR(VLOOKUP(A103,'TB MAIN'!$A$4:$J$541,10,0),0)</f>
        <v>56640</v>
      </c>
      <c r="G103" s="1">
        <f t="shared" si="3"/>
        <v>0</v>
      </c>
      <c r="H103" s="1">
        <f t="shared" si="4"/>
        <v>0</v>
      </c>
      <c r="I103" s="1">
        <f t="shared" si="5"/>
        <v>0</v>
      </c>
    </row>
    <row r="104" spans="1:9" ht="15" customHeight="1">
      <c r="A104" s="10" t="s">
        <v>112</v>
      </c>
      <c r="B104" s="11"/>
      <c r="C104" s="12">
        <v>5099431</v>
      </c>
      <c r="E104" s="1">
        <f>+IFERROR(VLOOKUP(A104,'TB MAIN'!$A$4:$J$541,7,0),0)</f>
        <v>0</v>
      </c>
      <c r="F104" s="1">
        <f>+IFERROR(VLOOKUP(A104,'TB MAIN'!$A$4:$J$541,10,0),0)</f>
        <v>5099431</v>
      </c>
      <c r="G104" s="1">
        <f t="shared" si="3"/>
        <v>0</v>
      </c>
      <c r="H104" s="1">
        <f t="shared" si="4"/>
        <v>0</v>
      </c>
      <c r="I104" s="1">
        <f t="shared" si="5"/>
        <v>0</v>
      </c>
    </row>
    <row r="105" spans="1:9" ht="15" customHeight="1">
      <c r="A105" s="10" t="s">
        <v>113</v>
      </c>
      <c r="B105" s="12">
        <v>28473033.399999999</v>
      </c>
      <c r="C105" s="11"/>
      <c r="E105" s="1">
        <f>+IFERROR(VLOOKUP(A105,'TB MAIN'!$A$4:$J$541,7,0),0)</f>
        <v>28473033.399999999</v>
      </c>
      <c r="F105" s="1">
        <f>+IFERROR(VLOOKUP(A105,'TB MAIN'!$A$4:$J$541,10,0),0)</f>
        <v>0</v>
      </c>
      <c r="G105" s="1">
        <f t="shared" si="3"/>
        <v>0</v>
      </c>
      <c r="H105" s="1">
        <f t="shared" si="4"/>
        <v>0</v>
      </c>
      <c r="I105" s="1">
        <f t="shared" si="5"/>
        <v>0</v>
      </c>
    </row>
    <row r="106" spans="1:9" ht="15" customHeight="1">
      <c r="A106" s="10" t="s">
        <v>114</v>
      </c>
      <c r="B106" s="11"/>
      <c r="C106" s="12">
        <v>26922650</v>
      </c>
      <c r="E106" s="1">
        <f>+IFERROR(VLOOKUP(A106,'TB MAIN'!$A$4:$J$541,7,0),0)</f>
        <v>0</v>
      </c>
      <c r="F106" s="1">
        <f>+IFERROR(VLOOKUP(A106,'TB MAIN'!$A$4:$J$541,10,0),0)</f>
        <v>26922650</v>
      </c>
      <c r="G106" s="1">
        <f t="shared" si="3"/>
        <v>0</v>
      </c>
      <c r="H106" s="1">
        <f t="shared" si="4"/>
        <v>0</v>
      </c>
      <c r="I106" s="1">
        <f t="shared" si="5"/>
        <v>0</v>
      </c>
    </row>
    <row r="107" spans="1:9" ht="15" customHeight="1">
      <c r="A107" s="10" t="s">
        <v>115</v>
      </c>
      <c r="B107" s="12">
        <v>236394</v>
      </c>
      <c r="C107" s="11"/>
      <c r="E107" s="1">
        <f>+IFERROR(VLOOKUP(A107,'TB MAIN'!$A$4:$J$541,7,0),0)</f>
        <v>236394</v>
      </c>
      <c r="F107" s="1">
        <f>+IFERROR(VLOOKUP(A107,'TB MAIN'!$A$4:$J$541,10,0),0)</f>
        <v>0</v>
      </c>
      <c r="G107" s="1">
        <f t="shared" si="3"/>
        <v>0</v>
      </c>
      <c r="H107" s="1">
        <f t="shared" si="4"/>
        <v>0</v>
      </c>
      <c r="I107" s="1">
        <f t="shared" si="5"/>
        <v>0</v>
      </c>
    </row>
    <row r="108" spans="1:9" ht="15" customHeight="1">
      <c r="A108" s="10" t="s">
        <v>116</v>
      </c>
      <c r="B108" s="12">
        <v>57414</v>
      </c>
      <c r="C108" s="11"/>
      <c r="E108" s="1">
        <f>+IFERROR(VLOOKUP(A108,'TB MAIN'!$A$4:$J$541,7,0),0)</f>
        <v>57414</v>
      </c>
      <c r="F108" s="1">
        <f>+IFERROR(VLOOKUP(A108,'TB MAIN'!$A$4:$J$541,10,0),0)</f>
        <v>0</v>
      </c>
      <c r="G108" s="1">
        <f t="shared" si="3"/>
        <v>0</v>
      </c>
      <c r="H108" s="1">
        <f t="shared" si="4"/>
        <v>0</v>
      </c>
      <c r="I108" s="1">
        <f t="shared" si="5"/>
        <v>0</v>
      </c>
    </row>
    <row r="109" spans="1:9" ht="15" customHeight="1">
      <c r="A109" s="10" t="s">
        <v>117</v>
      </c>
      <c r="B109" s="12">
        <v>491501</v>
      </c>
      <c r="C109" s="11"/>
      <c r="E109" s="1">
        <f>+IFERROR(VLOOKUP(A109,'TB MAIN'!$A$4:$J$541,7,0),0)</f>
        <v>491501</v>
      </c>
      <c r="F109" s="1">
        <f>+IFERROR(VLOOKUP(A109,'TB MAIN'!$A$4:$J$541,10,0),0)</f>
        <v>0</v>
      </c>
      <c r="G109" s="1">
        <f t="shared" si="3"/>
        <v>0</v>
      </c>
      <c r="H109" s="1">
        <f t="shared" si="4"/>
        <v>0</v>
      </c>
      <c r="I109" s="1">
        <f t="shared" si="5"/>
        <v>0</v>
      </c>
    </row>
    <row r="110" spans="1:9" ht="15" customHeight="1">
      <c r="A110" s="10" t="s">
        <v>118</v>
      </c>
      <c r="B110" s="11"/>
      <c r="C110" s="12">
        <v>10652264</v>
      </c>
      <c r="E110" s="1">
        <f>+IFERROR(VLOOKUP(A110,'TB MAIN'!$A$4:$J$541,7,0),0)</f>
        <v>0</v>
      </c>
      <c r="F110" s="1">
        <f>+IFERROR(VLOOKUP(A110,'TB MAIN'!$A$4:$J$541,10,0),0)</f>
        <v>10652264</v>
      </c>
      <c r="G110" s="1">
        <f t="shared" si="3"/>
        <v>0</v>
      </c>
      <c r="H110" s="1">
        <f t="shared" si="4"/>
        <v>0</v>
      </c>
      <c r="I110" s="1">
        <f t="shared" si="5"/>
        <v>0</v>
      </c>
    </row>
    <row r="111" spans="1:9" ht="15" customHeight="1">
      <c r="A111" s="10" t="s">
        <v>119</v>
      </c>
      <c r="B111" s="12">
        <v>58090</v>
      </c>
      <c r="C111" s="11"/>
      <c r="E111" s="1">
        <f>+IFERROR(VLOOKUP(A111,'TB MAIN'!$A$4:$J$541,7,0),0)</f>
        <v>58090</v>
      </c>
      <c r="F111" s="1">
        <f>+IFERROR(VLOOKUP(A111,'TB MAIN'!$A$4:$J$541,10,0),0)</f>
        <v>0</v>
      </c>
      <c r="G111" s="1">
        <f t="shared" si="3"/>
        <v>0</v>
      </c>
      <c r="H111" s="1">
        <f t="shared" si="4"/>
        <v>0</v>
      </c>
      <c r="I111" s="1">
        <f t="shared" si="5"/>
        <v>0</v>
      </c>
    </row>
    <row r="112" spans="1:9" ht="15" customHeight="1">
      <c r="A112" s="10" t="s">
        <v>120</v>
      </c>
      <c r="B112" s="12">
        <v>242450</v>
      </c>
      <c r="C112" s="11"/>
      <c r="E112" s="1">
        <f>+IFERROR(VLOOKUP(A112,'TB MAIN'!$A$4:$J$541,7,0),0)</f>
        <v>242450</v>
      </c>
      <c r="F112" s="1">
        <f>+IFERROR(VLOOKUP(A112,'TB MAIN'!$A$4:$J$541,10,0),0)</f>
        <v>0</v>
      </c>
      <c r="G112" s="1">
        <f t="shared" si="3"/>
        <v>0</v>
      </c>
      <c r="H112" s="1">
        <f t="shared" si="4"/>
        <v>0</v>
      </c>
      <c r="I112" s="1">
        <f t="shared" si="5"/>
        <v>0</v>
      </c>
    </row>
    <row r="113" spans="1:9" ht="15" customHeight="1">
      <c r="A113" s="10" t="s">
        <v>121</v>
      </c>
      <c r="B113" s="12">
        <v>70499746</v>
      </c>
      <c r="C113" s="11"/>
      <c r="E113" s="1">
        <f>+IFERROR(VLOOKUP(A113,'TB MAIN'!$A$4:$J$541,7,0),0)</f>
        <v>70499746</v>
      </c>
      <c r="F113" s="1">
        <f>+IFERROR(VLOOKUP(A113,'TB MAIN'!$A$4:$J$541,10,0),0)</f>
        <v>0</v>
      </c>
      <c r="G113" s="1">
        <f t="shared" si="3"/>
        <v>0</v>
      </c>
      <c r="H113" s="1">
        <f t="shared" si="4"/>
        <v>0</v>
      </c>
      <c r="I113" s="1">
        <f t="shared" si="5"/>
        <v>0</v>
      </c>
    </row>
    <row r="114" spans="1:9" ht="15" customHeight="1">
      <c r="A114" s="10" t="s">
        <v>122</v>
      </c>
      <c r="B114" s="12">
        <v>289245</v>
      </c>
      <c r="C114" s="11"/>
      <c r="E114" s="1">
        <f>+IFERROR(VLOOKUP(A114,'TB MAIN'!$A$4:$J$541,7,0),0)</f>
        <v>289245</v>
      </c>
      <c r="F114" s="1">
        <f>+IFERROR(VLOOKUP(A114,'TB MAIN'!$A$4:$J$541,10,0),0)</f>
        <v>0</v>
      </c>
      <c r="G114" s="1">
        <f t="shared" si="3"/>
        <v>0</v>
      </c>
      <c r="H114" s="1">
        <f t="shared" si="4"/>
        <v>0</v>
      </c>
      <c r="I114" s="1">
        <f t="shared" si="5"/>
        <v>0</v>
      </c>
    </row>
    <row r="115" spans="1:9" ht="15" customHeight="1">
      <c r="A115" s="10" t="s">
        <v>123</v>
      </c>
      <c r="B115" s="12">
        <v>50000</v>
      </c>
      <c r="C115" s="11"/>
      <c r="E115" s="1">
        <f>+IFERROR(VLOOKUP(A115,'TB MAIN'!$A$4:$J$541,7,0),0)</f>
        <v>50000</v>
      </c>
      <c r="F115" s="1">
        <f>+IFERROR(VLOOKUP(A115,'TB MAIN'!$A$4:$J$541,10,0),0)</f>
        <v>0</v>
      </c>
      <c r="G115" s="1">
        <f t="shared" si="3"/>
        <v>0</v>
      </c>
      <c r="H115" s="1">
        <f t="shared" si="4"/>
        <v>0</v>
      </c>
      <c r="I115" s="1">
        <f t="shared" si="5"/>
        <v>0</v>
      </c>
    </row>
    <row r="116" spans="1:9" ht="15" customHeight="1">
      <c r="A116" s="10" t="s">
        <v>124</v>
      </c>
      <c r="B116" s="12">
        <v>28970.799999999999</v>
      </c>
      <c r="C116" s="11"/>
      <c r="E116" s="1">
        <f>+IFERROR(VLOOKUP(A116,'TB MAIN'!$A$4:$J$541,7,0),0)</f>
        <v>28970.799999999999</v>
      </c>
      <c r="F116" s="1">
        <f>+IFERROR(VLOOKUP(A116,'TB MAIN'!$A$4:$J$541,10,0),0)</f>
        <v>0</v>
      </c>
      <c r="G116" s="1">
        <f t="shared" si="3"/>
        <v>0</v>
      </c>
      <c r="H116" s="1">
        <f t="shared" si="4"/>
        <v>0</v>
      </c>
      <c r="I116" s="1">
        <f t="shared" si="5"/>
        <v>0</v>
      </c>
    </row>
    <row r="117" spans="1:9" ht="15" customHeight="1">
      <c r="A117" s="10" t="s">
        <v>125</v>
      </c>
      <c r="B117" s="12">
        <v>2841598</v>
      </c>
      <c r="C117" s="11"/>
      <c r="E117" s="1">
        <f>+IFERROR(VLOOKUP(A117,'TB MAIN'!$A$4:$J$541,7,0),0)</f>
        <v>2841598</v>
      </c>
      <c r="F117" s="1">
        <f>+IFERROR(VLOOKUP(A117,'TB MAIN'!$A$4:$J$541,10,0),0)</f>
        <v>0</v>
      </c>
      <c r="G117" s="1">
        <f t="shared" si="3"/>
        <v>0</v>
      </c>
      <c r="H117" s="1">
        <f t="shared" si="4"/>
        <v>0</v>
      </c>
      <c r="I117" s="1">
        <f t="shared" si="5"/>
        <v>0</v>
      </c>
    </row>
    <row r="118" spans="1:9" ht="15" customHeight="1">
      <c r="A118" s="10" t="s">
        <v>126</v>
      </c>
      <c r="B118" s="11"/>
      <c r="C118" s="12">
        <v>303501</v>
      </c>
      <c r="E118" s="1">
        <f>+IFERROR(VLOOKUP(A118,'TB MAIN'!$A$4:$J$541,7,0),0)</f>
        <v>0</v>
      </c>
      <c r="F118" s="1">
        <f>+IFERROR(VLOOKUP(A118,'TB MAIN'!$A$4:$J$541,10,0),0)</f>
        <v>303501</v>
      </c>
      <c r="G118" s="1">
        <f t="shared" si="3"/>
        <v>0</v>
      </c>
      <c r="H118" s="1">
        <f t="shared" si="4"/>
        <v>0</v>
      </c>
      <c r="I118" s="1">
        <f t="shared" si="5"/>
        <v>0</v>
      </c>
    </row>
    <row r="119" spans="1:9" ht="15" customHeight="1">
      <c r="A119" s="10" t="s">
        <v>127</v>
      </c>
      <c r="B119" s="12">
        <v>447710</v>
      </c>
      <c r="C119" s="11"/>
      <c r="E119" s="1">
        <f>+IFERROR(VLOOKUP(A119,'TB MAIN'!$A$4:$J$541,7,0),0)</f>
        <v>447710</v>
      </c>
      <c r="F119" s="1">
        <f>+IFERROR(VLOOKUP(A119,'TB MAIN'!$A$4:$J$541,10,0),0)</f>
        <v>0</v>
      </c>
      <c r="G119" s="1">
        <f t="shared" si="3"/>
        <v>0</v>
      </c>
      <c r="H119" s="1">
        <f t="shared" si="4"/>
        <v>0</v>
      </c>
      <c r="I119" s="1">
        <f t="shared" si="5"/>
        <v>0</v>
      </c>
    </row>
    <row r="120" spans="1:9" ht="15" customHeight="1">
      <c r="A120" s="10" t="s">
        <v>129</v>
      </c>
      <c r="B120" s="12">
        <v>1508572</v>
      </c>
      <c r="C120" s="11"/>
      <c r="E120" s="1">
        <f>+IFERROR(VLOOKUP(A120,'TB MAIN'!$A$4:$J$541,7,0),0)</f>
        <v>1508572</v>
      </c>
      <c r="F120" s="1">
        <f>+IFERROR(VLOOKUP(A120,'TB MAIN'!$A$4:$J$541,10,0),0)</f>
        <v>0</v>
      </c>
      <c r="G120" s="1">
        <f t="shared" si="3"/>
        <v>0</v>
      </c>
      <c r="H120" s="1">
        <f t="shared" si="4"/>
        <v>0</v>
      </c>
      <c r="I120" s="1">
        <f t="shared" si="5"/>
        <v>0</v>
      </c>
    </row>
    <row r="121" spans="1:9" ht="15" customHeight="1">
      <c r="A121" s="10" t="s">
        <v>130</v>
      </c>
      <c r="B121" s="11"/>
      <c r="C121" s="12">
        <v>588805</v>
      </c>
      <c r="E121" s="1">
        <f>+IFERROR(VLOOKUP(A121,'TB MAIN'!$A$4:$J$541,7,0),0)</f>
        <v>0</v>
      </c>
      <c r="F121" s="1">
        <f>+IFERROR(VLOOKUP(A121,'TB MAIN'!$A$4:$J$541,10,0),0)</f>
        <v>588805</v>
      </c>
      <c r="G121" s="1">
        <f t="shared" si="3"/>
        <v>0</v>
      </c>
      <c r="H121" s="1">
        <f t="shared" si="4"/>
        <v>0</v>
      </c>
      <c r="I121" s="1">
        <f t="shared" si="5"/>
        <v>0</v>
      </c>
    </row>
    <row r="122" spans="1:9" ht="15" customHeight="1">
      <c r="A122" s="10" t="s">
        <v>131</v>
      </c>
      <c r="B122" s="12">
        <v>358420</v>
      </c>
      <c r="C122" s="11"/>
      <c r="E122" s="1">
        <f>+IFERROR(VLOOKUP(A122,'TB MAIN'!$A$4:$J$541,7,0),0)</f>
        <v>358420</v>
      </c>
      <c r="F122" s="1">
        <f>+IFERROR(VLOOKUP(A122,'TB MAIN'!$A$4:$J$541,10,0),0)</f>
        <v>0</v>
      </c>
      <c r="G122" s="1">
        <f t="shared" si="3"/>
        <v>0</v>
      </c>
      <c r="H122" s="1">
        <f t="shared" si="4"/>
        <v>0</v>
      </c>
      <c r="I122" s="1">
        <f t="shared" si="5"/>
        <v>0</v>
      </c>
    </row>
    <row r="123" spans="1:9" ht="15" customHeight="1">
      <c r="A123" s="10" t="s">
        <v>132</v>
      </c>
      <c r="B123" s="11"/>
      <c r="C123" s="12">
        <v>83450</v>
      </c>
      <c r="E123" s="1">
        <f>+IFERROR(VLOOKUP(A123,'TB MAIN'!$A$4:$J$541,7,0),0)</f>
        <v>0</v>
      </c>
      <c r="F123" s="1">
        <f>+IFERROR(VLOOKUP(A123,'TB MAIN'!$A$4:$J$541,10,0),0)</f>
        <v>83450</v>
      </c>
      <c r="G123" s="1">
        <f t="shared" si="3"/>
        <v>0</v>
      </c>
      <c r="H123" s="1">
        <f t="shared" si="4"/>
        <v>0</v>
      </c>
      <c r="I123" s="1">
        <f t="shared" si="5"/>
        <v>0</v>
      </c>
    </row>
    <row r="124" spans="1:9" ht="15" customHeight="1">
      <c r="A124" s="10" t="s">
        <v>133</v>
      </c>
      <c r="B124" s="12">
        <v>33965000</v>
      </c>
      <c r="C124" s="11"/>
      <c r="E124" s="1">
        <f>+IFERROR(VLOOKUP(A124,'TB MAIN'!$A$4:$J$541,7,0),0)</f>
        <v>33965000</v>
      </c>
      <c r="F124" s="1">
        <f>+IFERROR(VLOOKUP(A124,'TB MAIN'!$A$4:$J$541,10,0),0)</f>
        <v>0</v>
      </c>
      <c r="G124" s="1">
        <f t="shared" si="3"/>
        <v>0</v>
      </c>
      <c r="H124" s="1">
        <f t="shared" si="4"/>
        <v>0</v>
      </c>
      <c r="I124" s="1">
        <f t="shared" si="5"/>
        <v>0</v>
      </c>
    </row>
    <row r="125" spans="1:9" ht="15" customHeight="1">
      <c r="A125" s="10" t="s">
        <v>134</v>
      </c>
      <c r="B125" s="11"/>
      <c r="C125" s="12">
        <v>1160</v>
      </c>
      <c r="E125" s="1">
        <f>+IFERROR(VLOOKUP(A125,'TB MAIN'!$A$4:$J$541,7,0),0)</f>
        <v>0</v>
      </c>
      <c r="F125" s="1">
        <f>+IFERROR(VLOOKUP(A125,'TB MAIN'!$A$4:$J$541,10,0),0)</f>
        <v>1160</v>
      </c>
      <c r="G125" s="1">
        <f t="shared" si="3"/>
        <v>0</v>
      </c>
      <c r="H125" s="1">
        <f t="shared" si="4"/>
        <v>0</v>
      </c>
      <c r="I125" s="1">
        <f t="shared" si="5"/>
        <v>0</v>
      </c>
    </row>
    <row r="126" spans="1:9" ht="15" customHeight="1">
      <c r="A126" s="10" t="s">
        <v>135</v>
      </c>
      <c r="B126" s="12">
        <v>1820294</v>
      </c>
      <c r="C126" s="11"/>
      <c r="E126" s="1">
        <f>+IFERROR(VLOOKUP(A126,'TB MAIN'!$A$4:$J$541,7,0),0)</f>
        <v>1820294</v>
      </c>
      <c r="F126" s="1">
        <f>+IFERROR(VLOOKUP(A126,'TB MAIN'!$A$4:$J$541,10,0),0)</f>
        <v>0</v>
      </c>
      <c r="G126" s="1">
        <f t="shared" si="3"/>
        <v>0</v>
      </c>
      <c r="H126" s="1">
        <f t="shared" si="4"/>
        <v>0</v>
      </c>
      <c r="I126" s="1">
        <f t="shared" si="5"/>
        <v>0</v>
      </c>
    </row>
    <row r="127" spans="1:9" ht="15" customHeight="1">
      <c r="A127" s="10" t="s">
        <v>136</v>
      </c>
      <c r="B127" s="11"/>
      <c r="C127" s="12">
        <v>136007</v>
      </c>
      <c r="E127" s="1">
        <f>+IFERROR(VLOOKUP(A127,'TB MAIN'!$A$4:$J$541,7,0),0)</f>
        <v>0</v>
      </c>
      <c r="F127" s="1">
        <f>+IFERROR(VLOOKUP(A127,'TB MAIN'!$A$4:$J$541,10,0),0)</f>
        <v>136007</v>
      </c>
      <c r="G127" s="1">
        <f t="shared" si="3"/>
        <v>0</v>
      </c>
      <c r="H127" s="1">
        <f t="shared" si="4"/>
        <v>0</v>
      </c>
      <c r="I127" s="1">
        <f t="shared" si="5"/>
        <v>0</v>
      </c>
    </row>
    <row r="128" spans="1:9" ht="15" customHeight="1">
      <c r="A128" s="10" t="s">
        <v>137</v>
      </c>
      <c r="B128" s="11"/>
      <c r="C128" s="12">
        <v>1800000</v>
      </c>
      <c r="E128" s="1">
        <f>+IFERROR(VLOOKUP(A128,'TB MAIN'!$A$4:$J$541,7,0),0)</f>
        <v>0</v>
      </c>
      <c r="F128" s="1">
        <f>+IFERROR(VLOOKUP(A128,'TB MAIN'!$A$4:$J$541,10,0),0)</f>
        <v>1800000</v>
      </c>
      <c r="G128" s="1">
        <f t="shared" si="3"/>
        <v>0</v>
      </c>
      <c r="H128" s="1">
        <f t="shared" si="4"/>
        <v>0</v>
      </c>
      <c r="I128" s="1">
        <f t="shared" si="5"/>
        <v>0</v>
      </c>
    </row>
    <row r="129" spans="1:9" ht="15" customHeight="1">
      <c r="A129" s="10" t="s">
        <v>138</v>
      </c>
      <c r="B129" s="12">
        <v>850764</v>
      </c>
      <c r="C129" s="11"/>
      <c r="E129" s="1">
        <f>+IFERROR(VLOOKUP(A129,'TB MAIN'!$A$4:$J$541,7,0),0)</f>
        <v>850764</v>
      </c>
      <c r="F129" s="1">
        <f>+IFERROR(VLOOKUP(A129,'TB MAIN'!$A$4:$J$541,10,0),0)</f>
        <v>0</v>
      </c>
      <c r="G129" s="1">
        <f t="shared" si="3"/>
        <v>0</v>
      </c>
      <c r="H129" s="1">
        <f t="shared" si="4"/>
        <v>0</v>
      </c>
      <c r="I129" s="1">
        <f t="shared" si="5"/>
        <v>0</v>
      </c>
    </row>
    <row r="130" spans="1:9" ht="15" customHeight="1">
      <c r="A130" s="10" t="s">
        <v>139</v>
      </c>
      <c r="B130" s="11"/>
      <c r="C130" s="12">
        <v>175820</v>
      </c>
      <c r="E130" s="1">
        <f>+IFERROR(VLOOKUP(A130,'TB MAIN'!$A$4:$J$541,7,0),0)</f>
        <v>0</v>
      </c>
      <c r="F130" s="1">
        <f>+IFERROR(VLOOKUP(A130,'TB MAIN'!$A$4:$J$541,10,0),0)</f>
        <v>175820</v>
      </c>
      <c r="G130" s="1">
        <f t="shared" si="3"/>
        <v>0</v>
      </c>
      <c r="H130" s="1">
        <f t="shared" si="4"/>
        <v>0</v>
      </c>
      <c r="I130" s="1">
        <f t="shared" si="5"/>
        <v>0</v>
      </c>
    </row>
    <row r="131" spans="1:9" ht="15" customHeight="1">
      <c r="A131" s="10" t="s">
        <v>140</v>
      </c>
      <c r="B131" s="12">
        <v>25123</v>
      </c>
      <c r="C131" s="11"/>
      <c r="E131" s="1">
        <f>+IFERROR(VLOOKUP(A131,'TB MAIN'!$A$4:$J$541,7,0),0)</f>
        <v>25123</v>
      </c>
      <c r="F131" s="1">
        <f>+IFERROR(VLOOKUP(A131,'TB MAIN'!$A$4:$J$541,10,0),0)</f>
        <v>0</v>
      </c>
      <c r="G131" s="1">
        <f t="shared" si="3"/>
        <v>0</v>
      </c>
      <c r="H131" s="1">
        <f t="shared" si="4"/>
        <v>0</v>
      </c>
      <c r="I131" s="1">
        <f t="shared" si="5"/>
        <v>0</v>
      </c>
    </row>
    <row r="132" spans="1:9" ht="15" customHeight="1">
      <c r="A132" s="10" t="s">
        <v>141</v>
      </c>
      <c r="B132" s="12">
        <v>10000</v>
      </c>
      <c r="C132" s="11"/>
      <c r="E132" s="1">
        <f>+IFERROR(VLOOKUP(A132,'TB MAIN'!$A$4:$J$541,7,0),0)</f>
        <v>10000</v>
      </c>
      <c r="F132" s="1">
        <f>+IFERROR(VLOOKUP(A132,'TB MAIN'!$A$4:$J$541,10,0),0)</f>
        <v>0</v>
      </c>
      <c r="G132" s="1">
        <f t="shared" si="3"/>
        <v>0</v>
      </c>
      <c r="H132" s="1">
        <f t="shared" si="4"/>
        <v>0</v>
      </c>
      <c r="I132" s="1">
        <f t="shared" si="5"/>
        <v>0</v>
      </c>
    </row>
    <row r="133" spans="1:9">
      <c r="A133" s="10" t="s">
        <v>1523</v>
      </c>
      <c r="B133" s="12">
        <v>45000</v>
      </c>
      <c r="C133" s="11"/>
      <c r="E133" s="1">
        <f>+IFERROR(VLOOKUP(A133,'TB MAIN'!$A$4:$J$541,7,0),0)</f>
        <v>45000</v>
      </c>
      <c r="F133" s="1">
        <f>+IFERROR(VLOOKUP(A133,'TB MAIN'!$A$4:$J$541,10,0),0)</f>
        <v>0</v>
      </c>
      <c r="G133" s="1">
        <f t="shared" si="3"/>
        <v>0</v>
      </c>
      <c r="H133" s="1">
        <f t="shared" si="4"/>
        <v>0</v>
      </c>
      <c r="I133" s="1">
        <f t="shared" si="5"/>
        <v>0</v>
      </c>
    </row>
    <row r="134" spans="1:9">
      <c r="A134" s="10" t="s">
        <v>1524</v>
      </c>
      <c r="B134" s="12">
        <v>40000</v>
      </c>
      <c r="C134" s="11"/>
      <c r="E134" s="1">
        <f>+IFERROR(VLOOKUP(A134,'TB MAIN'!$A$4:$J$541,7,0),0)</f>
        <v>40000</v>
      </c>
      <c r="F134" s="1">
        <f>+IFERROR(VLOOKUP(A134,'TB MAIN'!$A$4:$J$541,10,0),0)</f>
        <v>0</v>
      </c>
      <c r="G134" s="1">
        <f t="shared" si="3"/>
        <v>0</v>
      </c>
      <c r="H134" s="1">
        <f t="shared" si="4"/>
        <v>0</v>
      </c>
      <c r="I134" s="1">
        <f t="shared" si="5"/>
        <v>0</v>
      </c>
    </row>
    <row r="135" spans="1:9" ht="15" customHeight="1">
      <c r="A135" s="10" t="s">
        <v>459</v>
      </c>
      <c r="B135" s="11"/>
      <c r="C135" s="12">
        <v>76500</v>
      </c>
      <c r="E135" s="1">
        <f>+IFERROR(VLOOKUP(A135,'TB MAIN'!$A$4:$J$541,7,0),0)</f>
        <v>0</v>
      </c>
      <c r="F135" s="1">
        <f>+IFERROR(VLOOKUP(A135,'TB MAIN'!$A$4:$J$541,10,0),0)</f>
        <v>76500</v>
      </c>
      <c r="G135" s="1">
        <f t="shared" si="3"/>
        <v>0</v>
      </c>
      <c r="H135" s="1">
        <f t="shared" si="4"/>
        <v>0</v>
      </c>
      <c r="I135" s="1">
        <f t="shared" si="5"/>
        <v>0</v>
      </c>
    </row>
    <row r="136" spans="1:9" ht="15" customHeight="1">
      <c r="A136" s="10" t="s">
        <v>142</v>
      </c>
      <c r="B136" s="12">
        <v>36000</v>
      </c>
      <c r="C136" s="11"/>
      <c r="E136" s="1">
        <f>+IFERROR(VLOOKUP(A136,'TB MAIN'!$A$4:$J$541,7,0),0)</f>
        <v>36000</v>
      </c>
      <c r="F136" s="1">
        <f>+IFERROR(VLOOKUP(A136,'TB MAIN'!$A$4:$J$541,10,0),0)</f>
        <v>0</v>
      </c>
      <c r="G136" s="1">
        <f t="shared" si="3"/>
        <v>0</v>
      </c>
      <c r="H136" s="1">
        <f t="shared" si="4"/>
        <v>0</v>
      </c>
      <c r="I136" s="1">
        <f t="shared" si="5"/>
        <v>0</v>
      </c>
    </row>
    <row r="137" spans="1:9" ht="15" customHeight="1">
      <c r="A137" s="10" t="s">
        <v>143</v>
      </c>
      <c r="B137" s="11"/>
      <c r="C137" s="12">
        <v>2016000</v>
      </c>
      <c r="E137" s="1">
        <f>+IFERROR(VLOOKUP(A137,'TB MAIN'!$A$4:$J$541,7,0),0)</f>
        <v>0</v>
      </c>
      <c r="F137" s="1">
        <f>+IFERROR(VLOOKUP(A137,'TB MAIN'!$A$4:$J$541,10,0),0)</f>
        <v>2016000</v>
      </c>
      <c r="G137" s="1">
        <f t="shared" si="3"/>
        <v>0</v>
      </c>
      <c r="H137" s="1">
        <f t="shared" si="4"/>
        <v>0</v>
      </c>
      <c r="I137" s="1">
        <f t="shared" si="5"/>
        <v>0</v>
      </c>
    </row>
    <row r="138" spans="1:9" ht="15" customHeight="1">
      <c r="A138" s="10" t="s">
        <v>144</v>
      </c>
      <c r="B138" s="11"/>
      <c r="C138" s="12">
        <v>7608</v>
      </c>
      <c r="E138" s="1">
        <f>+IFERROR(VLOOKUP(A138,'TB MAIN'!$A$4:$J$541,7,0),0)</f>
        <v>0</v>
      </c>
      <c r="F138" s="1">
        <f>+IFERROR(VLOOKUP(A138,'TB MAIN'!$A$4:$J$541,10,0),0)</f>
        <v>7608</v>
      </c>
      <c r="G138" s="1">
        <f t="shared" si="3"/>
        <v>0</v>
      </c>
      <c r="H138" s="1">
        <f t="shared" si="4"/>
        <v>0</v>
      </c>
      <c r="I138" s="1">
        <f t="shared" si="5"/>
        <v>0</v>
      </c>
    </row>
    <row r="139" spans="1:9" ht="15" customHeight="1">
      <c r="A139" s="10" t="s">
        <v>145</v>
      </c>
      <c r="B139" s="11"/>
      <c r="C139" s="12">
        <v>1093348</v>
      </c>
      <c r="E139" s="1">
        <f>+IFERROR(VLOOKUP(A139,'TB MAIN'!$A$4:$J$541,7,0),0)</f>
        <v>0</v>
      </c>
      <c r="F139" s="1">
        <f>+IFERROR(VLOOKUP(A139,'TB MAIN'!$A$4:$J$541,10,0),0)</f>
        <v>1093348</v>
      </c>
      <c r="G139" s="1">
        <f t="shared" si="3"/>
        <v>0</v>
      </c>
      <c r="H139" s="1">
        <f t="shared" si="4"/>
        <v>0</v>
      </c>
      <c r="I139" s="1">
        <f t="shared" si="5"/>
        <v>0</v>
      </c>
    </row>
    <row r="140" spans="1:9" ht="15" customHeight="1">
      <c r="A140" s="10" t="s">
        <v>146</v>
      </c>
      <c r="B140" s="12">
        <v>38000</v>
      </c>
      <c r="C140" s="11"/>
      <c r="E140" s="1">
        <f>+IFERROR(VLOOKUP(A140,'TB MAIN'!$A$4:$J$541,7,0),0)</f>
        <v>38000</v>
      </c>
      <c r="F140" s="1">
        <f>+IFERROR(VLOOKUP(A140,'TB MAIN'!$A$4:$J$541,10,0),0)</f>
        <v>0</v>
      </c>
      <c r="G140" s="1">
        <f t="shared" si="3"/>
        <v>0</v>
      </c>
      <c r="H140" s="1">
        <f t="shared" si="4"/>
        <v>0</v>
      </c>
      <c r="I140" s="1">
        <f t="shared" si="5"/>
        <v>0</v>
      </c>
    </row>
    <row r="141" spans="1:9" ht="15" customHeight="1">
      <c r="A141" s="10" t="s">
        <v>147</v>
      </c>
      <c r="B141" s="11"/>
      <c r="C141" s="12">
        <v>67845.8</v>
      </c>
      <c r="E141" s="1">
        <f>+IFERROR(VLOOKUP(A141,'TB MAIN'!$A$4:$J$541,7,0),0)</f>
        <v>0</v>
      </c>
      <c r="F141" s="1">
        <f>+IFERROR(VLOOKUP(A141,'TB MAIN'!$A$4:$J$541,10,0),0)</f>
        <v>67845.8</v>
      </c>
      <c r="G141" s="1">
        <f t="shared" ref="G141:G204" si="6">+B141-E141</f>
        <v>0</v>
      </c>
      <c r="H141" s="1">
        <f t="shared" ref="H141:H204" si="7">+C141-F141</f>
        <v>0</v>
      </c>
      <c r="I141" s="1">
        <f t="shared" ref="I141:I204" si="8">+G141+H141</f>
        <v>0</v>
      </c>
    </row>
    <row r="142" spans="1:9" ht="15" customHeight="1">
      <c r="A142" s="10" t="s">
        <v>148</v>
      </c>
      <c r="B142" s="11"/>
      <c r="C142" s="12">
        <v>208713.56</v>
      </c>
      <c r="E142" s="1">
        <f>+IFERROR(VLOOKUP(A142,'TB MAIN'!$A$4:$J$541,7,0),0)</f>
        <v>0</v>
      </c>
      <c r="F142" s="1">
        <f>+IFERROR(VLOOKUP(A142,'TB MAIN'!$A$4:$J$541,10,0),0)</f>
        <v>208713.56</v>
      </c>
      <c r="G142" s="1">
        <f t="shared" si="6"/>
        <v>0</v>
      </c>
      <c r="H142" s="1">
        <f t="shared" si="7"/>
        <v>0</v>
      </c>
      <c r="I142" s="1">
        <f t="shared" si="8"/>
        <v>0</v>
      </c>
    </row>
    <row r="143" spans="1:9" ht="15" customHeight="1">
      <c r="A143" s="10" t="s">
        <v>149</v>
      </c>
      <c r="B143" s="11"/>
      <c r="C143" s="12">
        <v>1762042</v>
      </c>
      <c r="E143" s="1">
        <f>+IFERROR(VLOOKUP(A143,'TB MAIN'!$A$4:$J$541,7,0),0)</f>
        <v>0</v>
      </c>
      <c r="F143" s="1">
        <f>+IFERROR(VLOOKUP(A143,'TB MAIN'!$A$4:$J$541,10,0),0)</f>
        <v>1762042</v>
      </c>
      <c r="G143" s="1">
        <f t="shared" si="6"/>
        <v>0</v>
      </c>
      <c r="H143" s="1">
        <f t="shared" si="7"/>
        <v>0</v>
      </c>
      <c r="I143" s="1">
        <f t="shared" si="8"/>
        <v>0</v>
      </c>
    </row>
    <row r="144" spans="1:9" ht="15" customHeight="1">
      <c r="A144" s="10" t="s">
        <v>150</v>
      </c>
      <c r="B144" s="12">
        <v>119902440.14</v>
      </c>
      <c r="C144" s="11"/>
      <c r="E144" s="1">
        <f>+IFERROR(VLOOKUP(A144,'TB MAIN'!$A$4:$J$541,7,0),0)</f>
        <v>119902440.14</v>
      </c>
      <c r="F144" s="1">
        <f>+IFERROR(VLOOKUP(A144,'TB MAIN'!$A$4:$J$541,10,0),0)</f>
        <v>0</v>
      </c>
      <c r="G144" s="1">
        <f t="shared" si="6"/>
        <v>0</v>
      </c>
      <c r="H144" s="1">
        <f t="shared" si="7"/>
        <v>0</v>
      </c>
      <c r="I144" s="1">
        <f t="shared" si="8"/>
        <v>0</v>
      </c>
    </row>
    <row r="145" spans="1:9" ht="15" customHeight="1">
      <c r="A145" s="10" t="s">
        <v>151</v>
      </c>
      <c r="B145" s="11"/>
      <c r="C145" s="12">
        <v>1259230</v>
      </c>
      <c r="E145" s="1">
        <f>+IFERROR(VLOOKUP(A145,'TB MAIN'!$A$4:$J$541,7,0),0)</f>
        <v>0</v>
      </c>
      <c r="F145" s="1">
        <f>+IFERROR(VLOOKUP(A145,'TB MAIN'!$A$4:$J$541,10,0),0)</f>
        <v>1259230</v>
      </c>
      <c r="G145" s="1">
        <f t="shared" si="6"/>
        <v>0</v>
      </c>
      <c r="H145" s="1">
        <f t="shared" si="7"/>
        <v>0</v>
      </c>
      <c r="I145" s="1">
        <f t="shared" si="8"/>
        <v>0</v>
      </c>
    </row>
    <row r="146" spans="1:9" ht="15" customHeight="1">
      <c r="A146" s="10" t="s">
        <v>152</v>
      </c>
      <c r="B146" s="12">
        <v>1259230</v>
      </c>
      <c r="C146" s="11"/>
      <c r="E146" s="1">
        <f>+IFERROR(VLOOKUP(A146,'TB MAIN'!$A$4:$J$541,7,0),0)</f>
        <v>1259230</v>
      </c>
      <c r="F146" s="1">
        <f>+IFERROR(VLOOKUP(A146,'TB MAIN'!$A$4:$J$541,10,0),0)</f>
        <v>0</v>
      </c>
      <c r="G146" s="1">
        <f t="shared" si="6"/>
        <v>0</v>
      </c>
      <c r="H146" s="1">
        <f t="shared" si="7"/>
        <v>0</v>
      </c>
      <c r="I146" s="1">
        <f t="shared" si="8"/>
        <v>0</v>
      </c>
    </row>
    <row r="147" spans="1:9" ht="15" customHeight="1">
      <c r="A147" s="10" t="s">
        <v>1309</v>
      </c>
      <c r="B147" s="12">
        <v>17190</v>
      </c>
      <c r="C147" s="11"/>
      <c r="E147" s="1">
        <f>+IFERROR(VLOOKUP(A147,'TB MAIN'!$A$4:$J$541,7,0),0)</f>
        <v>17190</v>
      </c>
      <c r="F147" s="1">
        <f>+IFERROR(VLOOKUP(A147,'TB MAIN'!$A$4:$J$541,10,0),0)</f>
        <v>0</v>
      </c>
      <c r="G147" s="1">
        <f t="shared" si="6"/>
        <v>0</v>
      </c>
      <c r="H147" s="1">
        <f t="shared" si="7"/>
        <v>0</v>
      </c>
      <c r="I147" s="1">
        <f t="shared" si="8"/>
        <v>0</v>
      </c>
    </row>
    <row r="148" spans="1:9" ht="15" customHeight="1">
      <c r="A148" s="10" t="s">
        <v>153</v>
      </c>
      <c r="B148" s="11"/>
      <c r="C148" s="12">
        <v>102556</v>
      </c>
      <c r="E148" s="1">
        <f>+IFERROR(VLOOKUP(A148,'TB MAIN'!$A$4:$J$541,7,0),0)</f>
        <v>0</v>
      </c>
      <c r="F148" s="1">
        <f>+IFERROR(VLOOKUP(A148,'TB MAIN'!$A$4:$J$541,10,0),0)</f>
        <v>102556</v>
      </c>
      <c r="G148" s="1">
        <f t="shared" si="6"/>
        <v>0</v>
      </c>
      <c r="H148" s="1">
        <f t="shared" si="7"/>
        <v>0</v>
      </c>
      <c r="I148" s="1">
        <f t="shared" si="8"/>
        <v>0</v>
      </c>
    </row>
    <row r="149" spans="1:9" ht="15" customHeight="1">
      <c r="A149" s="10" t="s">
        <v>154</v>
      </c>
      <c r="B149" s="12">
        <v>238781</v>
      </c>
      <c r="C149" s="11"/>
      <c r="E149" s="1">
        <f>+IFERROR(VLOOKUP(A149,'TB MAIN'!$A$4:$J$541,7,0),0)</f>
        <v>238781</v>
      </c>
      <c r="F149" s="1">
        <f>+IFERROR(VLOOKUP(A149,'TB MAIN'!$A$4:$J$541,10,0),0)</f>
        <v>0</v>
      </c>
      <c r="G149" s="1">
        <f t="shared" si="6"/>
        <v>0</v>
      </c>
      <c r="H149" s="1">
        <f t="shared" si="7"/>
        <v>0</v>
      </c>
      <c r="I149" s="1">
        <f t="shared" si="8"/>
        <v>0</v>
      </c>
    </row>
    <row r="150" spans="1:9" ht="15" customHeight="1">
      <c r="A150" s="10" t="s">
        <v>155</v>
      </c>
      <c r="B150" s="12">
        <v>932</v>
      </c>
      <c r="C150" s="11"/>
      <c r="E150" s="1">
        <f>+IFERROR(VLOOKUP(A150,'TB MAIN'!$A$4:$J$541,7,0),0)</f>
        <v>932</v>
      </c>
      <c r="F150" s="1">
        <f>+IFERROR(VLOOKUP(A150,'TB MAIN'!$A$4:$J$541,10,0),0)</f>
        <v>0</v>
      </c>
      <c r="G150" s="1">
        <f t="shared" si="6"/>
        <v>0</v>
      </c>
      <c r="H150" s="1">
        <f t="shared" si="7"/>
        <v>0</v>
      </c>
      <c r="I150" s="1">
        <f t="shared" si="8"/>
        <v>0</v>
      </c>
    </row>
    <row r="151" spans="1:9" ht="15" customHeight="1">
      <c r="A151" s="10" t="s">
        <v>156</v>
      </c>
      <c r="B151" s="12">
        <v>86275</v>
      </c>
      <c r="C151" s="11"/>
      <c r="E151" s="1">
        <f>+IFERROR(VLOOKUP(A151,'TB MAIN'!$A$4:$J$541,7,0),0)</f>
        <v>86275</v>
      </c>
      <c r="F151" s="1">
        <f>+IFERROR(VLOOKUP(A151,'TB MAIN'!$A$4:$J$541,10,0),0)</f>
        <v>0</v>
      </c>
      <c r="G151" s="1">
        <f t="shared" si="6"/>
        <v>0</v>
      </c>
      <c r="H151" s="1">
        <f t="shared" si="7"/>
        <v>0</v>
      </c>
      <c r="I151" s="1">
        <f t="shared" si="8"/>
        <v>0</v>
      </c>
    </row>
    <row r="152" spans="1:9" ht="15" customHeight="1">
      <c r="A152" s="10" t="s">
        <v>157</v>
      </c>
      <c r="B152" s="12">
        <v>25000</v>
      </c>
      <c r="C152" s="11"/>
      <c r="E152" s="1">
        <f>+IFERROR(VLOOKUP(A152,'TB MAIN'!$A$4:$J$541,7,0),0)</f>
        <v>25000</v>
      </c>
      <c r="F152" s="1">
        <f>+IFERROR(VLOOKUP(A152,'TB MAIN'!$A$4:$J$541,10,0),0)</f>
        <v>0</v>
      </c>
      <c r="G152" s="1">
        <f t="shared" si="6"/>
        <v>0</v>
      </c>
      <c r="H152" s="1">
        <f t="shared" si="7"/>
        <v>0</v>
      </c>
      <c r="I152" s="1">
        <f t="shared" si="8"/>
        <v>0</v>
      </c>
    </row>
    <row r="153" spans="1:9" ht="15" customHeight="1">
      <c r="A153" s="10" t="s">
        <v>158</v>
      </c>
      <c r="B153" s="12">
        <v>944137</v>
      </c>
      <c r="C153" s="11"/>
      <c r="E153" s="1">
        <f>+IFERROR(VLOOKUP(A153,'TB MAIN'!$A$4:$J$541,7,0),0)</f>
        <v>944137</v>
      </c>
      <c r="F153" s="1">
        <f>+IFERROR(VLOOKUP(A153,'TB MAIN'!$A$4:$J$541,10,0),0)</f>
        <v>0</v>
      </c>
      <c r="G153" s="1">
        <f t="shared" si="6"/>
        <v>0</v>
      </c>
      <c r="H153" s="1">
        <f t="shared" si="7"/>
        <v>0</v>
      </c>
      <c r="I153" s="1">
        <f t="shared" si="8"/>
        <v>0</v>
      </c>
    </row>
    <row r="154" spans="1:9" ht="15" customHeight="1">
      <c r="A154" s="10" t="s">
        <v>159</v>
      </c>
      <c r="B154" s="12">
        <v>414161</v>
      </c>
      <c r="C154" s="11"/>
      <c r="E154" s="1">
        <f>+IFERROR(VLOOKUP(A154,'TB MAIN'!$A$4:$J$541,7,0),0)</f>
        <v>414161</v>
      </c>
      <c r="F154" s="1">
        <f>+IFERROR(VLOOKUP(A154,'TB MAIN'!$A$4:$J$541,10,0),0)</f>
        <v>0</v>
      </c>
      <c r="G154" s="1">
        <f t="shared" si="6"/>
        <v>0</v>
      </c>
      <c r="H154" s="1">
        <f t="shared" si="7"/>
        <v>0</v>
      </c>
      <c r="I154" s="1">
        <f t="shared" si="8"/>
        <v>0</v>
      </c>
    </row>
    <row r="155" spans="1:9" ht="15" customHeight="1">
      <c r="A155" s="10" t="s">
        <v>160</v>
      </c>
      <c r="B155" s="12">
        <v>3023</v>
      </c>
      <c r="C155" s="11"/>
      <c r="E155" s="1">
        <f>+IFERROR(VLOOKUP(A155,'TB MAIN'!$A$4:$J$541,7,0),0)</f>
        <v>3023</v>
      </c>
      <c r="F155" s="1">
        <f>+IFERROR(VLOOKUP(A155,'TB MAIN'!$A$4:$J$541,10,0),0)</f>
        <v>0</v>
      </c>
      <c r="G155" s="1">
        <f t="shared" si="6"/>
        <v>0</v>
      </c>
      <c r="H155" s="1">
        <f t="shared" si="7"/>
        <v>0</v>
      </c>
      <c r="I155" s="1">
        <f t="shared" si="8"/>
        <v>0</v>
      </c>
    </row>
    <row r="156" spans="1:9" ht="15" customHeight="1">
      <c r="A156" s="10" t="s">
        <v>161</v>
      </c>
      <c r="B156" s="12">
        <v>29695</v>
      </c>
      <c r="C156" s="11"/>
      <c r="E156" s="1">
        <f>+IFERROR(VLOOKUP(A156,'TB MAIN'!$A$4:$J$541,7,0),0)</f>
        <v>29695</v>
      </c>
      <c r="F156" s="1">
        <f>+IFERROR(VLOOKUP(A156,'TB MAIN'!$A$4:$J$541,10,0),0)</f>
        <v>0</v>
      </c>
      <c r="G156" s="1">
        <f t="shared" si="6"/>
        <v>0</v>
      </c>
      <c r="H156" s="1">
        <f t="shared" si="7"/>
        <v>0</v>
      </c>
      <c r="I156" s="1">
        <f t="shared" si="8"/>
        <v>0</v>
      </c>
    </row>
    <row r="157" spans="1:9" ht="15" customHeight="1">
      <c r="A157" s="10" t="s">
        <v>162</v>
      </c>
      <c r="B157" s="12">
        <v>38511</v>
      </c>
      <c r="C157" s="11"/>
      <c r="E157" s="1">
        <f>+IFERROR(VLOOKUP(A157,'TB MAIN'!$A$4:$J$541,7,0),0)</f>
        <v>38511</v>
      </c>
      <c r="F157" s="1">
        <f>+IFERROR(VLOOKUP(A157,'TB MAIN'!$A$4:$J$541,10,0),0)</f>
        <v>0</v>
      </c>
      <c r="G157" s="1">
        <f t="shared" si="6"/>
        <v>0</v>
      </c>
      <c r="H157" s="1">
        <f t="shared" si="7"/>
        <v>0</v>
      </c>
      <c r="I157" s="1">
        <f t="shared" si="8"/>
        <v>0</v>
      </c>
    </row>
    <row r="158" spans="1:9" ht="15" customHeight="1">
      <c r="A158" s="10" t="s">
        <v>163</v>
      </c>
      <c r="B158" s="11"/>
      <c r="C158" s="12">
        <v>169041</v>
      </c>
      <c r="E158" s="1">
        <f>+IFERROR(VLOOKUP(A158,'TB MAIN'!$A$4:$J$541,7,0),0)</f>
        <v>0</v>
      </c>
      <c r="F158" s="1">
        <f>+IFERROR(VLOOKUP(A158,'TB MAIN'!$A$4:$J$541,10,0),0)</f>
        <v>169041</v>
      </c>
      <c r="G158" s="1">
        <f t="shared" si="6"/>
        <v>0</v>
      </c>
      <c r="H158" s="1">
        <f t="shared" si="7"/>
        <v>0</v>
      </c>
      <c r="I158" s="1">
        <f t="shared" si="8"/>
        <v>0</v>
      </c>
    </row>
    <row r="159" spans="1:9" ht="15" customHeight="1">
      <c r="A159" s="10" t="s">
        <v>164</v>
      </c>
      <c r="B159" s="12">
        <v>672181</v>
      </c>
      <c r="C159" s="11"/>
      <c r="E159" s="1">
        <f>+IFERROR(VLOOKUP(A159,'TB MAIN'!$A$4:$J$541,7,0),0)</f>
        <v>672181</v>
      </c>
      <c r="F159" s="1">
        <f>+IFERROR(VLOOKUP(A159,'TB MAIN'!$A$4:$J$541,10,0),0)</f>
        <v>0</v>
      </c>
      <c r="G159" s="1">
        <f t="shared" si="6"/>
        <v>0</v>
      </c>
      <c r="H159" s="1">
        <f t="shared" si="7"/>
        <v>0</v>
      </c>
      <c r="I159" s="1">
        <f t="shared" si="8"/>
        <v>0</v>
      </c>
    </row>
    <row r="160" spans="1:9" ht="15" customHeight="1">
      <c r="A160" s="10" t="s">
        <v>165</v>
      </c>
      <c r="B160" s="12">
        <v>867002</v>
      </c>
      <c r="C160" s="11"/>
      <c r="E160" s="1">
        <f>+IFERROR(VLOOKUP(A160,'TB MAIN'!$A$4:$J$541,7,0),0)</f>
        <v>867002</v>
      </c>
      <c r="F160" s="1">
        <f>+IFERROR(VLOOKUP(A160,'TB MAIN'!$A$4:$J$541,10,0),0)</f>
        <v>0</v>
      </c>
      <c r="G160" s="1">
        <f t="shared" si="6"/>
        <v>0</v>
      </c>
      <c r="H160" s="1">
        <f t="shared" si="7"/>
        <v>0</v>
      </c>
      <c r="I160" s="1">
        <f t="shared" si="8"/>
        <v>0</v>
      </c>
    </row>
    <row r="161" spans="1:9" ht="15" customHeight="1">
      <c r="A161" s="10" t="s">
        <v>166</v>
      </c>
      <c r="B161" s="12">
        <v>5436</v>
      </c>
      <c r="C161" s="11"/>
      <c r="E161" s="1">
        <f>+IFERROR(VLOOKUP(A161,'TB MAIN'!$A$4:$J$541,7,0),0)</f>
        <v>5436</v>
      </c>
      <c r="F161" s="1">
        <f>+IFERROR(VLOOKUP(A161,'TB MAIN'!$A$4:$J$541,10,0),0)</f>
        <v>0</v>
      </c>
      <c r="G161" s="1">
        <f t="shared" si="6"/>
        <v>0</v>
      </c>
      <c r="H161" s="1">
        <f t="shared" si="7"/>
        <v>0</v>
      </c>
      <c r="I161" s="1">
        <f t="shared" si="8"/>
        <v>0</v>
      </c>
    </row>
    <row r="162" spans="1:9" ht="15" customHeight="1">
      <c r="A162" s="10" t="s">
        <v>167</v>
      </c>
      <c r="B162" s="12">
        <v>27865</v>
      </c>
      <c r="C162" s="11"/>
      <c r="E162" s="1">
        <f>+IFERROR(VLOOKUP(A162,'TB MAIN'!$A$4:$J$541,7,0),0)</f>
        <v>27865</v>
      </c>
      <c r="F162" s="1">
        <f>+IFERROR(VLOOKUP(A162,'TB MAIN'!$A$4:$J$541,10,0),0)</f>
        <v>0</v>
      </c>
      <c r="G162" s="1">
        <f t="shared" si="6"/>
        <v>0</v>
      </c>
      <c r="H162" s="1">
        <f t="shared" si="7"/>
        <v>0</v>
      </c>
      <c r="I162" s="1">
        <f t="shared" si="8"/>
        <v>0</v>
      </c>
    </row>
    <row r="163" spans="1:9" ht="15" customHeight="1">
      <c r="A163" s="10" t="s">
        <v>168</v>
      </c>
      <c r="B163" s="12">
        <v>2414</v>
      </c>
      <c r="C163" s="11"/>
      <c r="E163" s="1">
        <f>+IFERROR(VLOOKUP(A163,'TB MAIN'!$A$4:$J$541,7,0),0)</f>
        <v>2414</v>
      </c>
      <c r="F163" s="1">
        <f>+IFERROR(VLOOKUP(A163,'TB MAIN'!$A$4:$J$541,10,0),0)</f>
        <v>0</v>
      </c>
      <c r="G163" s="1">
        <f t="shared" si="6"/>
        <v>0</v>
      </c>
      <c r="H163" s="1">
        <f t="shared" si="7"/>
        <v>0</v>
      </c>
      <c r="I163" s="1">
        <f t="shared" si="8"/>
        <v>0</v>
      </c>
    </row>
    <row r="164" spans="1:9" ht="15" customHeight="1">
      <c r="A164" s="10" t="s">
        <v>169</v>
      </c>
      <c r="B164" s="12">
        <v>285659</v>
      </c>
      <c r="C164" s="11"/>
      <c r="E164" s="1">
        <f>+IFERROR(VLOOKUP(A164,'TB MAIN'!$A$4:$J$541,7,0),0)</f>
        <v>285659</v>
      </c>
      <c r="F164" s="1">
        <f>+IFERROR(VLOOKUP(A164,'TB MAIN'!$A$4:$J$541,10,0),0)</f>
        <v>0</v>
      </c>
      <c r="G164" s="1">
        <f t="shared" si="6"/>
        <v>0</v>
      </c>
      <c r="H164" s="1">
        <f t="shared" si="7"/>
        <v>0</v>
      </c>
      <c r="I164" s="1">
        <f t="shared" si="8"/>
        <v>0</v>
      </c>
    </row>
    <row r="165" spans="1:9" ht="15" customHeight="1">
      <c r="A165" s="10" t="s">
        <v>170</v>
      </c>
      <c r="B165" s="12">
        <v>200</v>
      </c>
      <c r="C165" s="11"/>
      <c r="E165" s="1">
        <f>+IFERROR(VLOOKUP(A165,'TB MAIN'!$A$4:$J$541,7,0),0)</f>
        <v>200</v>
      </c>
      <c r="F165" s="1">
        <f>+IFERROR(VLOOKUP(A165,'TB MAIN'!$A$4:$J$541,10,0),0)</f>
        <v>0</v>
      </c>
      <c r="G165" s="1">
        <f t="shared" si="6"/>
        <v>0</v>
      </c>
      <c r="H165" s="1">
        <f t="shared" si="7"/>
        <v>0</v>
      </c>
      <c r="I165" s="1">
        <f t="shared" si="8"/>
        <v>0</v>
      </c>
    </row>
    <row r="166" spans="1:9" ht="15" customHeight="1">
      <c r="A166" s="10" t="s">
        <v>171</v>
      </c>
      <c r="B166" s="12">
        <v>5485</v>
      </c>
      <c r="C166" s="11"/>
      <c r="E166" s="1">
        <f>+IFERROR(VLOOKUP(A166,'TB MAIN'!$A$4:$J$541,7,0),0)</f>
        <v>5485</v>
      </c>
      <c r="F166" s="1">
        <f>+IFERROR(VLOOKUP(A166,'TB MAIN'!$A$4:$J$541,10,0),0)</f>
        <v>0</v>
      </c>
      <c r="G166" s="1">
        <f t="shared" si="6"/>
        <v>0</v>
      </c>
      <c r="H166" s="1">
        <f t="shared" si="7"/>
        <v>0</v>
      </c>
      <c r="I166" s="1">
        <f t="shared" si="8"/>
        <v>0</v>
      </c>
    </row>
    <row r="167" spans="1:9" ht="15" customHeight="1">
      <c r="A167" s="10" t="s">
        <v>172</v>
      </c>
      <c r="B167" s="12">
        <v>29250</v>
      </c>
      <c r="C167" s="11"/>
      <c r="E167" s="1">
        <f>+IFERROR(VLOOKUP(A167,'TB MAIN'!$A$4:$J$541,7,0),0)</f>
        <v>29250</v>
      </c>
      <c r="F167" s="1">
        <f>+IFERROR(VLOOKUP(A167,'TB MAIN'!$A$4:$J$541,10,0),0)</f>
        <v>0</v>
      </c>
      <c r="G167" s="1">
        <f t="shared" si="6"/>
        <v>0</v>
      </c>
      <c r="H167" s="1">
        <f t="shared" si="7"/>
        <v>0</v>
      </c>
      <c r="I167" s="1">
        <f t="shared" si="8"/>
        <v>0</v>
      </c>
    </row>
    <row r="168" spans="1:9" ht="15" customHeight="1">
      <c r="A168" s="10" t="s">
        <v>173</v>
      </c>
      <c r="B168" s="12">
        <v>5436</v>
      </c>
      <c r="C168" s="11"/>
      <c r="E168" s="1">
        <f>+IFERROR(VLOOKUP(A168,'TB MAIN'!$A$4:$J$541,7,0),0)</f>
        <v>5436</v>
      </c>
      <c r="F168" s="1">
        <f>+IFERROR(VLOOKUP(A168,'TB MAIN'!$A$4:$J$541,10,0),0)</f>
        <v>0</v>
      </c>
      <c r="G168" s="1">
        <f t="shared" si="6"/>
        <v>0</v>
      </c>
      <c r="H168" s="1">
        <f t="shared" si="7"/>
        <v>0</v>
      </c>
      <c r="I168" s="1">
        <f t="shared" si="8"/>
        <v>0</v>
      </c>
    </row>
    <row r="169" spans="1:9" ht="15" customHeight="1">
      <c r="A169" s="10" t="s">
        <v>174</v>
      </c>
      <c r="B169" s="12">
        <v>2330</v>
      </c>
      <c r="C169" s="11"/>
      <c r="E169" s="1">
        <f>+IFERROR(VLOOKUP(A169,'TB MAIN'!$A$4:$J$541,7,0),0)</f>
        <v>2330</v>
      </c>
      <c r="F169" s="1">
        <f>+IFERROR(VLOOKUP(A169,'TB MAIN'!$A$4:$J$541,10,0),0)</f>
        <v>0</v>
      </c>
      <c r="G169" s="1">
        <f t="shared" si="6"/>
        <v>0</v>
      </c>
      <c r="H169" s="1">
        <f t="shared" si="7"/>
        <v>0</v>
      </c>
      <c r="I169" s="1">
        <f t="shared" si="8"/>
        <v>0</v>
      </c>
    </row>
    <row r="170" spans="1:9" ht="15" customHeight="1">
      <c r="A170" s="10" t="s">
        <v>175</v>
      </c>
      <c r="B170" s="12">
        <v>12071</v>
      </c>
      <c r="C170" s="11"/>
      <c r="E170" s="1">
        <f>+IFERROR(VLOOKUP(A170,'TB MAIN'!$A$4:$J$541,7,0),0)</f>
        <v>12071</v>
      </c>
      <c r="F170" s="1">
        <f>+IFERROR(VLOOKUP(A170,'TB MAIN'!$A$4:$J$541,10,0),0)</f>
        <v>0</v>
      </c>
      <c r="G170" s="1">
        <f t="shared" si="6"/>
        <v>0</v>
      </c>
      <c r="H170" s="1">
        <f t="shared" si="7"/>
        <v>0</v>
      </c>
      <c r="I170" s="1">
        <f t="shared" si="8"/>
        <v>0</v>
      </c>
    </row>
    <row r="171" spans="1:9" ht="15" customHeight="1">
      <c r="A171" s="10" t="s">
        <v>176</v>
      </c>
      <c r="B171" s="11"/>
      <c r="C171" s="12">
        <v>574034.93999999994</v>
      </c>
      <c r="E171" s="1">
        <f>+IFERROR(VLOOKUP(A171,'TB MAIN'!$A$4:$J$541,7,0),0)</f>
        <v>0</v>
      </c>
      <c r="F171" s="1">
        <f>+IFERROR(VLOOKUP(A171,'TB MAIN'!$A$4:$J$541,10,0),0)</f>
        <v>574034.93999999994</v>
      </c>
      <c r="G171" s="1">
        <f t="shared" si="6"/>
        <v>0</v>
      </c>
      <c r="H171" s="1">
        <f t="shared" si="7"/>
        <v>0</v>
      </c>
      <c r="I171" s="1">
        <f t="shared" si="8"/>
        <v>0</v>
      </c>
    </row>
    <row r="172" spans="1:9" ht="15" customHeight="1">
      <c r="A172" s="10" t="s">
        <v>662</v>
      </c>
      <c r="B172" s="12">
        <v>131953</v>
      </c>
      <c r="C172" s="11"/>
      <c r="E172" s="1">
        <f>+IFERROR(VLOOKUP(A172,'TB MAIN'!$A$4:$J$541,7,0),0)</f>
        <v>131953</v>
      </c>
      <c r="F172" s="1">
        <f>+IFERROR(VLOOKUP(A172,'TB MAIN'!$A$4:$J$541,10,0),0)</f>
        <v>0</v>
      </c>
      <c r="G172" s="1">
        <f t="shared" si="6"/>
        <v>0</v>
      </c>
      <c r="H172" s="1">
        <f t="shared" si="7"/>
        <v>0</v>
      </c>
      <c r="I172" s="1">
        <f t="shared" si="8"/>
        <v>0</v>
      </c>
    </row>
    <row r="173" spans="1:9" ht="15" customHeight="1">
      <c r="A173" s="10" t="s">
        <v>177</v>
      </c>
      <c r="B173" s="12">
        <v>4933411.9400000004</v>
      </c>
      <c r="C173" s="11"/>
      <c r="E173" s="1">
        <f>+IFERROR(VLOOKUP(A173,'TB MAIN'!$A$4:$J$541,7,0),0)</f>
        <v>4933411.9400000004</v>
      </c>
      <c r="F173" s="1">
        <f>+IFERROR(VLOOKUP(A173,'TB MAIN'!$A$4:$J$541,10,0),0)</f>
        <v>0</v>
      </c>
      <c r="G173" s="1">
        <f t="shared" si="6"/>
        <v>0</v>
      </c>
      <c r="H173" s="1">
        <f t="shared" si="7"/>
        <v>0</v>
      </c>
      <c r="I173" s="1">
        <f t="shared" si="8"/>
        <v>0</v>
      </c>
    </row>
    <row r="174" spans="1:9">
      <c r="A174" s="10" t="s">
        <v>178</v>
      </c>
      <c r="B174" s="12">
        <v>166917</v>
      </c>
      <c r="C174" s="11"/>
      <c r="E174" s="1">
        <f>+IFERROR(VLOOKUP(A174,'TB MAIN'!$A$4:$J$541,7,0),0)</f>
        <v>166917</v>
      </c>
      <c r="F174" s="1">
        <f>+IFERROR(VLOOKUP(A174,'TB MAIN'!$A$4:$J$541,10,0),0)</f>
        <v>0</v>
      </c>
      <c r="G174" s="1">
        <f t="shared" si="6"/>
        <v>0</v>
      </c>
      <c r="H174" s="1">
        <f t="shared" si="7"/>
        <v>0</v>
      </c>
      <c r="I174" s="1">
        <f t="shared" si="8"/>
        <v>0</v>
      </c>
    </row>
    <row r="175" spans="1:9" ht="15" customHeight="1">
      <c r="A175" s="10" t="s">
        <v>179</v>
      </c>
      <c r="B175" s="12">
        <v>441375</v>
      </c>
      <c r="C175" s="11"/>
      <c r="E175" s="1">
        <f>+IFERROR(VLOOKUP(A175,'TB MAIN'!$A$4:$J$541,7,0),0)</f>
        <v>441375</v>
      </c>
      <c r="F175" s="1">
        <f>+IFERROR(VLOOKUP(A175,'TB MAIN'!$A$4:$J$541,10,0),0)</f>
        <v>0</v>
      </c>
      <c r="G175" s="1">
        <f t="shared" si="6"/>
        <v>0</v>
      </c>
      <c r="H175" s="1">
        <f t="shared" si="7"/>
        <v>0</v>
      </c>
      <c r="I175" s="1">
        <f t="shared" si="8"/>
        <v>0</v>
      </c>
    </row>
    <row r="176" spans="1:9" ht="15" customHeight="1">
      <c r="A176" s="10" t="s">
        <v>180</v>
      </c>
      <c r="B176" s="12">
        <v>1878337</v>
      </c>
      <c r="C176" s="11"/>
      <c r="E176" s="1">
        <f>+IFERROR(VLOOKUP(A176,'TB MAIN'!$A$4:$J$541,7,0),0)</f>
        <v>1878337</v>
      </c>
      <c r="F176" s="1">
        <f>+IFERROR(VLOOKUP(A176,'TB MAIN'!$A$4:$J$541,10,0),0)</f>
        <v>0</v>
      </c>
      <c r="G176" s="1">
        <f t="shared" si="6"/>
        <v>0</v>
      </c>
      <c r="H176" s="1">
        <f t="shared" si="7"/>
        <v>0</v>
      </c>
      <c r="I176" s="1">
        <f t="shared" si="8"/>
        <v>0</v>
      </c>
    </row>
    <row r="177" spans="1:9" ht="15" customHeight="1">
      <c r="A177" s="10" t="s">
        <v>181</v>
      </c>
      <c r="B177" s="12">
        <v>196000</v>
      </c>
      <c r="C177" s="11"/>
      <c r="E177" s="1">
        <f>+IFERROR(VLOOKUP(A177,'TB MAIN'!$A$4:$J$541,7,0),0)</f>
        <v>196000</v>
      </c>
      <c r="F177" s="1">
        <f>+IFERROR(VLOOKUP(A177,'TB MAIN'!$A$4:$J$541,10,0),0)</f>
        <v>0</v>
      </c>
      <c r="G177" s="1">
        <f t="shared" si="6"/>
        <v>0</v>
      </c>
      <c r="H177" s="1">
        <f t="shared" si="7"/>
        <v>0</v>
      </c>
      <c r="I177" s="1">
        <f t="shared" si="8"/>
        <v>0</v>
      </c>
    </row>
    <row r="178" spans="1:9" ht="15" customHeight="1">
      <c r="A178" s="10" t="s">
        <v>182</v>
      </c>
      <c r="B178" s="12">
        <v>556227</v>
      </c>
      <c r="C178" s="11"/>
      <c r="E178" s="1">
        <f>+IFERROR(VLOOKUP(A178,'TB MAIN'!$A$4:$J$541,7,0),0)</f>
        <v>556227</v>
      </c>
      <c r="F178" s="1">
        <f>+IFERROR(VLOOKUP(A178,'TB MAIN'!$A$4:$J$541,10,0),0)</f>
        <v>0</v>
      </c>
      <c r="G178" s="1">
        <f t="shared" si="6"/>
        <v>0</v>
      </c>
      <c r="H178" s="1">
        <f t="shared" si="7"/>
        <v>0</v>
      </c>
      <c r="I178" s="1">
        <f t="shared" si="8"/>
        <v>0</v>
      </c>
    </row>
    <row r="179" spans="1:9" ht="15" customHeight="1">
      <c r="A179" s="10" t="s">
        <v>183</v>
      </c>
      <c r="B179" s="12">
        <v>50433</v>
      </c>
      <c r="C179" s="11"/>
      <c r="E179" s="1">
        <f>+IFERROR(VLOOKUP(A179,'TB MAIN'!$A$4:$J$541,7,0),0)</f>
        <v>50433</v>
      </c>
      <c r="F179" s="1">
        <f>+IFERROR(VLOOKUP(A179,'TB MAIN'!$A$4:$J$541,10,0),0)</f>
        <v>0</v>
      </c>
      <c r="G179" s="1">
        <f t="shared" si="6"/>
        <v>0</v>
      </c>
      <c r="H179" s="1">
        <f t="shared" si="7"/>
        <v>0</v>
      </c>
      <c r="I179" s="1">
        <f t="shared" si="8"/>
        <v>0</v>
      </c>
    </row>
    <row r="180" spans="1:9" ht="15" customHeight="1">
      <c r="A180" s="10" t="s">
        <v>184</v>
      </c>
      <c r="B180" s="11"/>
      <c r="C180" s="12">
        <v>54442</v>
      </c>
      <c r="E180" s="1">
        <f>+IFERROR(VLOOKUP(A180,'TB MAIN'!$A$4:$J$541,7,0),0)</f>
        <v>0</v>
      </c>
      <c r="F180" s="1">
        <f>+IFERROR(VLOOKUP(A180,'TB MAIN'!$A$4:$J$541,10,0),0)</f>
        <v>54442</v>
      </c>
      <c r="G180" s="1">
        <f t="shared" si="6"/>
        <v>0</v>
      </c>
      <c r="H180" s="1">
        <f t="shared" si="7"/>
        <v>0</v>
      </c>
      <c r="I180" s="1">
        <f t="shared" si="8"/>
        <v>0</v>
      </c>
    </row>
    <row r="181" spans="1:9" ht="15" customHeight="1">
      <c r="A181" s="10" t="s">
        <v>185</v>
      </c>
      <c r="B181" s="11"/>
      <c r="C181" s="12">
        <v>2950</v>
      </c>
      <c r="E181" s="1">
        <f>+IFERROR(VLOOKUP(A181,'TB MAIN'!$A$4:$J$541,7,0),0)</f>
        <v>0</v>
      </c>
      <c r="F181" s="1">
        <f>+IFERROR(VLOOKUP(A181,'TB MAIN'!$A$4:$J$541,10,0),0)</f>
        <v>2950</v>
      </c>
      <c r="G181" s="1">
        <f t="shared" si="6"/>
        <v>0</v>
      </c>
      <c r="H181" s="1">
        <f t="shared" si="7"/>
        <v>0</v>
      </c>
      <c r="I181" s="1">
        <f t="shared" si="8"/>
        <v>0</v>
      </c>
    </row>
    <row r="182" spans="1:9" ht="15" customHeight="1">
      <c r="A182" s="10" t="s">
        <v>186</v>
      </c>
      <c r="B182" s="11"/>
      <c r="C182" s="12">
        <v>23502</v>
      </c>
      <c r="E182" s="1">
        <f>+IFERROR(VLOOKUP(A182,'TB MAIN'!$A$4:$J$541,7,0),0)</f>
        <v>0</v>
      </c>
      <c r="F182" s="1">
        <f>+IFERROR(VLOOKUP(A182,'TB MAIN'!$A$4:$J$541,10,0),0)</f>
        <v>23502</v>
      </c>
      <c r="G182" s="1">
        <f t="shared" si="6"/>
        <v>0</v>
      </c>
      <c r="H182" s="1">
        <f t="shared" si="7"/>
        <v>0</v>
      </c>
      <c r="I182" s="1">
        <f t="shared" si="8"/>
        <v>0</v>
      </c>
    </row>
    <row r="183" spans="1:9" ht="15" customHeight="1">
      <c r="A183" s="10" t="s">
        <v>187</v>
      </c>
      <c r="B183" s="11"/>
      <c r="C183" s="12">
        <v>6498343</v>
      </c>
      <c r="E183" s="1">
        <f>+IFERROR(VLOOKUP(A183,'TB MAIN'!$A$4:$J$541,7,0),0)</f>
        <v>0</v>
      </c>
      <c r="F183" s="1">
        <f>+IFERROR(VLOOKUP(A183,'TB MAIN'!$A$4:$J$541,10,0),0)</f>
        <v>6498343</v>
      </c>
      <c r="G183" s="1">
        <f t="shared" si="6"/>
        <v>0</v>
      </c>
      <c r="H183" s="1">
        <f t="shared" si="7"/>
        <v>0</v>
      </c>
      <c r="I183" s="1">
        <f t="shared" si="8"/>
        <v>0</v>
      </c>
    </row>
    <row r="184" spans="1:9" ht="15" customHeight="1">
      <c r="A184" s="10" t="s">
        <v>188</v>
      </c>
      <c r="B184" s="11"/>
      <c r="C184" s="12">
        <v>6710</v>
      </c>
      <c r="E184" s="1">
        <f>+IFERROR(VLOOKUP(A184,'TB MAIN'!$A$4:$J$541,7,0),0)</f>
        <v>0</v>
      </c>
      <c r="F184" s="1">
        <f>+IFERROR(VLOOKUP(A184,'TB MAIN'!$A$4:$J$541,10,0),0)</f>
        <v>6710</v>
      </c>
      <c r="G184" s="1">
        <f t="shared" si="6"/>
        <v>0</v>
      </c>
      <c r="H184" s="1">
        <f t="shared" si="7"/>
        <v>0</v>
      </c>
      <c r="I184" s="1">
        <f t="shared" si="8"/>
        <v>0</v>
      </c>
    </row>
    <row r="185" spans="1:9" ht="15" customHeight="1">
      <c r="A185" s="10" t="s">
        <v>189</v>
      </c>
      <c r="B185" s="12">
        <v>1680601</v>
      </c>
      <c r="C185" s="11"/>
      <c r="E185" s="1">
        <f>+IFERROR(VLOOKUP(A185,'TB MAIN'!$A$4:$J$541,7,0),0)</f>
        <v>1680601</v>
      </c>
      <c r="F185" s="1">
        <f>+IFERROR(VLOOKUP(A185,'TB MAIN'!$A$4:$J$541,10,0),0)</f>
        <v>0</v>
      </c>
      <c r="G185" s="1">
        <f t="shared" si="6"/>
        <v>0</v>
      </c>
      <c r="H185" s="1">
        <f t="shared" si="7"/>
        <v>0</v>
      </c>
      <c r="I185" s="1">
        <f t="shared" si="8"/>
        <v>0</v>
      </c>
    </row>
    <row r="186" spans="1:9" ht="15" customHeight="1">
      <c r="A186" s="10" t="s">
        <v>190</v>
      </c>
      <c r="B186" s="11"/>
      <c r="C186" s="12">
        <v>6434</v>
      </c>
      <c r="E186" s="1">
        <f>+IFERROR(VLOOKUP(A186,'TB MAIN'!$A$4:$J$541,7,0),0)</f>
        <v>0</v>
      </c>
      <c r="F186" s="1">
        <f>+IFERROR(VLOOKUP(A186,'TB MAIN'!$A$4:$J$541,10,0),0)</f>
        <v>6434</v>
      </c>
      <c r="G186" s="1">
        <f t="shared" si="6"/>
        <v>0</v>
      </c>
      <c r="H186" s="1">
        <f t="shared" si="7"/>
        <v>0</v>
      </c>
      <c r="I186" s="1">
        <f t="shared" si="8"/>
        <v>0</v>
      </c>
    </row>
    <row r="187" spans="1:9" ht="15" customHeight="1">
      <c r="A187" s="10" t="s">
        <v>191</v>
      </c>
      <c r="B187" s="12">
        <v>92000</v>
      </c>
      <c r="C187" s="11"/>
      <c r="E187" s="1">
        <f>+IFERROR(VLOOKUP(A187,'TB MAIN'!$A$4:$J$541,7,0),0)</f>
        <v>92000</v>
      </c>
      <c r="F187" s="1">
        <f>+IFERROR(VLOOKUP(A187,'TB MAIN'!$A$4:$J$541,10,0),0)</f>
        <v>0</v>
      </c>
      <c r="G187" s="1">
        <f t="shared" si="6"/>
        <v>0</v>
      </c>
      <c r="H187" s="1">
        <f t="shared" si="7"/>
        <v>0</v>
      </c>
      <c r="I187" s="1">
        <f t="shared" si="8"/>
        <v>0</v>
      </c>
    </row>
    <row r="188" spans="1:9" ht="15" customHeight="1">
      <c r="A188" s="10" t="s">
        <v>192</v>
      </c>
      <c r="B188" s="11"/>
      <c r="C188" s="12">
        <v>366473</v>
      </c>
      <c r="E188" s="1">
        <f>+IFERROR(VLOOKUP(A188,'TB MAIN'!$A$4:$J$541,7,0),0)</f>
        <v>0</v>
      </c>
      <c r="F188" s="1">
        <f>+IFERROR(VLOOKUP(A188,'TB MAIN'!$A$4:$J$541,10,0),0)</f>
        <v>366473</v>
      </c>
      <c r="G188" s="1">
        <f t="shared" si="6"/>
        <v>0</v>
      </c>
      <c r="H188" s="1">
        <f t="shared" si="7"/>
        <v>0</v>
      </c>
      <c r="I188" s="1">
        <f t="shared" si="8"/>
        <v>0</v>
      </c>
    </row>
    <row r="189" spans="1:9" ht="15" customHeight="1">
      <c r="A189" s="10" t="s">
        <v>193</v>
      </c>
      <c r="B189" s="11"/>
      <c r="C189" s="12">
        <v>21679</v>
      </c>
      <c r="E189" s="1">
        <f>+IFERROR(VLOOKUP(A189,'TB MAIN'!$A$4:$J$541,7,0),0)</f>
        <v>0</v>
      </c>
      <c r="F189" s="1">
        <f>+IFERROR(VLOOKUP(A189,'TB MAIN'!$A$4:$J$541,10,0),0)</f>
        <v>21679</v>
      </c>
      <c r="G189" s="1">
        <f t="shared" si="6"/>
        <v>0</v>
      </c>
      <c r="H189" s="1">
        <f t="shared" si="7"/>
        <v>0</v>
      </c>
      <c r="I189" s="1">
        <f t="shared" si="8"/>
        <v>0</v>
      </c>
    </row>
    <row r="190" spans="1:9" ht="15" customHeight="1">
      <c r="A190" s="10" t="s">
        <v>194</v>
      </c>
      <c r="B190" s="11"/>
      <c r="C190" s="12">
        <v>3280041</v>
      </c>
      <c r="E190" s="1">
        <f>+IFERROR(VLOOKUP(A190,'TB MAIN'!$A$4:$J$541,7,0),0)</f>
        <v>0</v>
      </c>
      <c r="F190" s="1">
        <f>+IFERROR(VLOOKUP(A190,'TB MAIN'!$A$4:$J$541,10,0),0)</f>
        <v>3280041</v>
      </c>
      <c r="G190" s="1">
        <f t="shared" si="6"/>
        <v>0</v>
      </c>
      <c r="H190" s="1">
        <f t="shared" si="7"/>
        <v>0</v>
      </c>
      <c r="I190" s="1">
        <f t="shared" si="8"/>
        <v>0</v>
      </c>
    </row>
    <row r="191" spans="1:9" ht="15" customHeight="1">
      <c r="A191" s="10" t="s">
        <v>195</v>
      </c>
      <c r="B191" s="11"/>
      <c r="C191" s="12">
        <v>6148401</v>
      </c>
      <c r="E191" s="1">
        <f>+IFERROR(VLOOKUP(A191,'TB MAIN'!$A$4:$J$541,7,0),0)</f>
        <v>0</v>
      </c>
      <c r="F191" s="1">
        <f>+IFERROR(VLOOKUP(A191,'TB MAIN'!$A$4:$J$541,10,0),0)</f>
        <v>6148401</v>
      </c>
      <c r="G191" s="1">
        <f t="shared" si="6"/>
        <v>0</v>
      </c>
      <c r="H191" s="1">
        <f t="shared" si="7"/>
        <v>0</v>
      </c>
      <c r="I191" s="1">
        <f t="shared" si="8"/>
        <v>0</v>
      </c>
    </row>
    <row r="192" spans="1:9" ht="15" customHeight="1">
      <c r="A192" s="10" t="s">
        <v>196</v>
      </c>
      <c r="B192" s="11"/>
      <c r="C192" s="12">
        <v>22611</v>
      </c>
      <c r="E192" s="1">
        <f>+IFERROR(VLOOKUP(A192,'TB MAIN'!$A$4:$J$541,7,0),0)</f>
        <v>0</v>
      </c>
      <c r="F192" s="1">
        <f>+IFERROR(VLOOKUP(A192,'TB MAIN'!$A$4:$J$541,10,0),0)</f>
        <v>22611</v>
      </c>
      <c r="G192" s="1">
        <f t="shared" si="6"/>
        <v>0</v>
      </c>
      <c r="H192" s="1">
        <f t="shared" si="7"/>
        <v>0</v>
      </c>
      <c r="I192" s="1">
        <f t="shared" si="8"/>
        <v>0</v>
      </c>
    </row>
    <row r="193" spans="1:9" ht="15" customHeight="1">
      <c r="A193" s="10" t="s">
        <v>197</v>
      </c>
      <c r="B193" s="11"/>
      <c r="C193" s="12">
        <v>2463</v>
      </c>
      <c r="E193" s="1">
        <f>+IFERROR(VLOOKUP(A193,'TB MAIN'!$A$4:$J$541,7,0),0)</f>
        <v>0</v>
      </c>
      <c r="F193" s="1">
        <f>+IFERROR(VLOOKUP(A193,'TB MAIN'!$A$4:$J$541,10,0),0)</f>
        <v>2463</v>
      </c>
      <c r="G193" s="1">
        <f t="shared" si="6"/>
        <v>0</v>
      </c>
      <c r="H193" s="1">
        <f t="shared" si="7"/>
        <v>0</v>
      </c>
      <c r="I193" s="1">
        <f t="shared" si="8"/>
        <v>0</v>
      </c>
    </row>
    <row r="194" spans="1:9" ht="15" customHeight="1">
      <c r="A194" s="10" t="s">
        <v>198</v>
      </c>
      <c r="B194" s="12">
        <v>23000</v>
      </c>
      <c r="C194" s="11"/>
      <c r="E194" s="1">
        <f>+IFERROR(VLOOKUP(A194,'TB MAIN'!$A$4:$J$541,7,0),0)</f>
        <v>23000</v>
      </c>
      <c r="F194" s="1">
        <f>+IFERROR(VLOOKUP(A194,'TB MAIN'!$A$4:$J$541,10,0),0)</f>
        <v>0</v>
      </c>
      <c r="G194" s="1">
        <f t="shared" si="6"/>
        <v>0</v>
      </c>
      <c r="H194" s="1">
        <f t="shared" si="7"/>
        <v>0</v>
      </c>
      <c r="I194" s="1">
        <f t="shared" si="8"/>
        <v>0</v>
      </c>
    </row>
    <row r="195" spans="1:9" ht="15" customHeight="1">
      <c r="A195" s="10" t="s">
        <v>199</v>
      </c>
      <c r="B195" s="12">
        <v>14352</v>
      </c>
      <c r="C195" s="11"/>
      <c r="E195" s="1">
        <f>+IFERROR(VLOOKUP(A195,'TB MAIN'!$A$4:$J$541,7,0),0)</f>
        <v>14352</v>
      </c>
      <c r="F195" s="1">
        <f>+IFERROR(VLOOKUP(A195,'TB MAIN'!$A$4:$J$541,10,0),0)</f>
        <v>0</v>
      </c>
      <c r="G195" s="1">
        <f t="shared" si="6"/>
        <v>0</v>
      </c>
      <c r="H195" s="1">
        <f t="shared" si="7"/>
        <v>0</v>
      </c>
      <c r="I195" s="1">
        <f t="shared" si="8"/>
        <v>0</v>
      </c>
    </row>
    <row r="196" spans="1:9" ht="15" customHeight="1">
      <c r="A196" s="10" t="s">
        <v>200</v>
      </c>
      <c r="B196" s="11"/>
      <c r="C196" s="12">
        <v>2096163</v>
      </c>
      <c r="E196" s="1">
        <f>+IFERROR(VLOOKUP(A196,'TB MAIN'!$A$4:$J$541,7,0),0)</f>
        <v>0</v>
      </c>
      <c r="F196" s="1">
        <f>+IFERROR(VLOOKUP(A196,'TB MAIN'!$A$4:$J$541,10,0),0)</f>
        <v>2096163</v>
      </c>
      <c r="G196" s="1">
        <f t="shared" si="6"/>
        <v>0</v>
      </c>
      <c r="H196" s="1">
        <f t="shared" si="7"/>
        <v>0</v>
      </c>
      <c r="I196" s="1">
        <f t="shared" si="8"/>
        <v>0</v>
      </c>
    </row>
    <row r="197" spans="1:9" ht="15" customHeight="1">
      <c r="A197" s="10" t="s">
        <v>201</v>
      </c>
      <c r="B197" s="12">
        <v>16519422</v>
      </c>
      <c r="C197" s="11"/>
      <c r="E197" s="1">
        <f>+IFERROR(VLOOKUP(A197,'TB MAIN'!$A$4:$J$541,7,0),0)</f>
        <v>16519422</v>
      </c>
      <c r="F197" s="1">
        <f>+IFERROR(VLOOKUP(A197,'TB MAIN'!$A$4:$J$541,10,0),0)</f>
        <v>0</v>
      </c>
      <c r="G197" s="1">
        <f t="shared" si="6"/>
        <v>0</v>
      </c>
      <c r="H197" s="1">
        <f t="shared" si="7"/>
        <v>0</v>
      </c>
      <c r="I197" s="1">
        <f t="shared" si="8"/>
        <v>0</v>
      </c>
    </row>
    <row r="198" spans="1:9" ht="15" customHeight="1">
      <c r="A198" s="10" t="s">
        <v>202</v>
      </c>
      <c r="B198" s="11"/>
      <c r="C198" s="12">
        <v>635040</v>
      </c>
      <c r="E198" s="1">
        <f>+IFERROR(VLOOKUP(A198,'TB MAIN'!$A$4:$J$541,7,0),0)</f>
        <v>0</v>
      </c>
      <c r="F198" s="1">
        <f>+IFERROR(VLOOKUP(A198,'TB MAIN'!$A$4:$J$541,10,0),0)</f>
        <v>635040</v>
      </c>
      <c r="G198" s="1">
        <f t="shared" si="6"/>
        <v>0</v>
      </c>
      <c r="H198" s="1">
        <f t="shared" si="7"/>
        <v>0</v>
      </c>
      <c r="I198" s="1">
        <f t="shared" si="8"/>
        <v>0</v>
      </c>
    </row>
    <row r="199" spans="1:9" ht="15" customHeight="1">
      <c r="A199" s="10" t="s">
        <v>203</v>
      </c>
      <c r="B199" s="12">
        <v>195649</v>
      </c>
      <c r="C199" s="11"/>
      <c r="E199" s="1">
        <f>+IFERROR(VLOOKUP(A199,'TB MAIN'!$A$4:$J$541,7,0),0)</f>
        <v>195649</v>
      </c>
      <c r="F199" s="1">
        <f>+IFERROR(VLOOKUP(A199,'TB MAIN'!$A$4:$J$541,10,0),0)</f>
        <v>0</v>
      </c>
      <c r="G199" s="1">
        <f t="shared" si="6"/>
        <v>0</v>
      </c>
      <c r="H199" s="1">
        <f t="shared" si="7"/>
        <v>0</v>
      </c>
      <c r="I199" s="1">
        <f t="shared" si="8"/>
        <v>0</v>
      </c>
    </row>
    <row r="200" spans="1:9" ht="15" customHeight="1">
      <c r="A200" s="10" t="s">
        <v>204</v>
      </c>
      <c r="B200" s="11"/>
      <c r="C200" s="12">
        <v>195649</v>
      </c>
      <c r="E200" s="1">
        <f>+IFERROR(VLOOKUP(A200,'TB MAIN'!$A$4:$J$541,7,0),0)</f>
        <v>0</v>
      </c>
      <c r="F200" s="1">
        <f>+IFERROR(VLOOKUP(A200,'TB MAIN'!$A$4:$J$541,10,0),0)</f>
        <v>195649</v>
      </c>
      <c r="G200" s="1">
        <f t="shared" si="6"/>
        <v>0</v>
      </c>
      <c r="H200" s="1">
        <f t="shared" si="7"/>
        <v>0</v>
      </c>
      <c r="I200" s="1">
        <f t="shared" si="8"/>
        <v>0</v>
      </c>
    </row>
    <row r="201" spans="1:9" ht="15" customHeight="1">
      <c r="A201" s="10" t="s">
        <v>205</v>
      </c>
      <c r="B201" s="12">
        <v>133198.18</v>
      </c>
      <c r="C201" s="11"/>
      <c r="E201" s="1">
        <f>+IFERROR(VLOOKUP(A201,'TB MAIN'!$A$4:$J$541,7,0),0)</f>
        <v>133198.18</v>
      </c>
      <c r="F201" s="1">
        <f>+IFERROR(VLOOKUP(A201,'TB MAIN'!$A$4:$J$541,10,0),0)</f>
        <v>0</v>
      </c>
      <c r="G201" s="1">
        <f t="shared" si="6"/>
        <v>0</v>
      </c>
      <c r="H201" s="1">
        <f t="shared" si="7"/>
        <v>0</v>
      </c>
      <c r="I201" s="1">
        <f t="shared" si="8"/>
        <v>0</v>
      </c>
    </row>
    <row r="202" spans="1:9" ht="15" customHeight="1">
      <c r="A202" s="10" t="s">
        <v>206</v>
      </c>
      <c r="B202" s="11"/>
      <c r="C202" s="12">
        <v>49045</v>
      </c>
      <c r="E202" s="1">
        <f>+IFERROR(VLOOKUP(A202,'TB MAIN'!$A$4:$J$541,7,0),0)</f>
        <v>0</v>
      </c>
      <c r="F202" s="1">
        <f>+IFERROR(VLOOKUP(A202,'TB MAIN'!$A$4:$J$541,10,0),0)</f>
        <v>49045</v>
      </c>
      <c r="G202" s="1">
        <f t="shared" si="6"/>
        <v>0</v>
      </c>
      <c r="H202" s="1">
        <f t="shared" si="7"/>
        <v>0</v>
      </c>
      <c r="I202" s="1">
        <f t="shared" si="8"/>
        <v>0</v>
      </c>
    </row>
    <row r="203" spans="1:9" ht="15" customHeight="1">
      <c r="A203" s="10" t="s">
        <v>207</v>
      </c>
      <c r="B203" s="12">
        <v>288108</v>
      </c>
      <c r="C203" s="11"/>
      <c r="E203" s="1">
        <f>+IFERROR(VLOOKUP(A203,'TB MAIN'!$A$4:$J$541,7,0),0)</f>
        <v>288108</v>
      </c>
      <c r="F203" s="1">
        <f>+IFERROR(VLOOKUP(A203,'TB MAIN'!$A$4:$J$541,10,0),0)</f>
        <v>0</v>
      </c>
      <c r="G203" s="1">
        <f t="shared" si="6"/>
        <v>0</v>
      </c>
      <c r="H203" s="1">
        <f t="shared" si="7"/>
        <v>0</v>
      </c>
      <c r="I203" s="1">
        <f t="shared" si="8"/>
        <v>0</v>
      </c>
    </row>
    <row r="204" spans="1:9" ht="15" customHeight="1">
      <c r="A204" s="10" t="s">
        <v>208</v>
      </c>
      <c r="B204" s="11"/>
      <c r="C204" s="12">
        <v>9718147</v>
      </c>
      <c r="E204" s="1">
        <f>+IFERROR(VLOOKUP(A204,'TB MAIN'!$A$4:$J$541,7,0),0)</f>
        <v>0</v>
      </c>
      <c r="F204" s="1">
        <f>+IFERROR(VLOOKUP(A204,'TB MAIN'!$A$4:$J$541,10,0),0)</f>
        <v>9718147</v>
      </c>
      <c r="G204" s="1">
        <f t="shared" si="6"/>
        <v>0</v>
      </c>
      <c r="H204" s="1">
        <f t="shared" si="7"/>
        <v>0</v>
      </c>
      <c r="I204" s="1">
        <f t="shared" si="8"/>
        <v>0</v>
      </c>
    </row>
    <row r="205" spans="1:9" ht="15" customHeight="1">
      <c r="A205" s="10" t="s">
        <v>209</v>
      </c>
      <c r="B205" s="12">
        <v>149343</v>
      </c>
      <c r="C205" s="11"/>
      <c r="E205" s="1">
        <f>+IFERROR(VLOOKUP(A205,'TB MAIN'!$A$4:$J$541,7,0),0)</f>
        <v>149343</v>
      </c>
      <c r="F205" s="1">
        <f>+IFERROR(VLOOKUP(A205,'TB MAIN'!$A$4:$J$541,10,0),0)</f>
        <v>0</v>
      </c>
      <c r="G205" s="1">
        <f t="shared" ref="G205:G268" si="9">+B205-E205</f>
        <v>0</v>
      </c>
      <c r="H205" s="1">
        <f t="shared" ref="H205:H268" si="10">+C205-F205</f>
        <v>0</v>
      </c>
      <c r="I205" s="1">
        <f t="shared" ref="I205:I268" si="11">+G205+H205</f>
        <v>0</v>
      </c>
    </row>
    <row r="206" spans="1:9" ht="15" customHeight="1">
      <c r="A206" s="10" t="s">
        <v>210</v>
      </c>
      <c r="B206" s="12">
        <v>969798</v>
      </c>
      <c r="C206" s="11"/>
      <c r="E206" s="1">
        <f>+IFERROR(VLOOKUP(A206,'TB MAIN'!$A$4:$J$541,7,0),0)</f>
        <v>969798</v>
      </c>
      <c r="F206" s="1">
        <f>+IFERROR(VLOOKUP(A206,'TB MAIN'!$A$4:$J$541,10,0),0)</f>
        <v>0</v>
      </c>
      <c r="G206" s="1">
        <f t="shared" si="9"/>
        <v>0</v>
      </c>
      <c r="H206" s="1">
        <f t="shared" si="10"/>
        <v>0</v>
      </c>
      <c r="I206" s="1">
        <f t="shared" si="11"/>
        <v>0</v>
      </c>
    </row>
    <row r="207" spans="1:9" ht="15" customHeight="1">
      <c r="A207" s="10" t="s">
        <v>211</v>
      </c>
      <c r="B207" s="12">
        <v>10783983.359999999</v>
      </c>
      <c r="C207" s="11"/>
      <c r="E207" s="1">
        <f>+IFERROR(VLOOKUP(A207,'TB MAIN'!$A$4:$J$541,7,0),0)</f>
        <v>10783983.359999999</v>
      </c>
      <c r="F207" s="1">
        <f>+IFERROR(VLOOKUP(A207,'TB MAIN'!$A$4:$J$541,10,0),0)</f>
        <v>0</v>
      </c>
      <c r="G207" s="1">
        <f t="shared" si="9"/>
        <v>0</v>
      </c>
      <c r="H207" s="1">
        <f t="shared" si="10"/>
        <v>0</v>
      </c>
      <c r="I207" s="1">
        <f t="shared" si="11"/>
        <v>0</v>
      </c>
    </row>
    <row r="208" spans="1:9" ht="15" customHeight="1">
      <c r="A208" s="10" t="s">
        <v>212</v>
      </c>
      <c r="B208" s="12">
        <v>1446914</v>
      </c>
      <c r="C208" s="11"/>
      <c r="E208" s="1">
        <f>+IFERROR(VLOOKUP(A208,'TB MAIN'!$A$4:$J$541,7,0),0)</f>
        <v>1446914</v>
      </c>
      <c r="F208" s="1">
        <f>+IFERROR(VLOOKUP(A208,'TB MAIN'!$A$4:$J$541,10,0),0)</f>
        <v>0</v>
      </c>
      <c r="G208" s="1">
        <f t="shared" si="9"/>
        <v>0</v>
      </c>
      <c r="H208" s="1">
        <f t="shared" si="10"/>
        <v>0</v>
      </c>
      <c r="I208" s="1">
        <f t="shared" si="11"/>
        <v>0</v>
      </c>
    </row>
    <row r="209" spans="1:9" ht="15" customHeight="1">
      <c r="A209" s="10" t="s">
        <v>213</v>
      </c>
      <c r="B209" s="11"/>
      <c r="C209" s="12">
        <v>55663</v>
      </c>
      <c r="E209" s="1">
        <f>+IFERROR(VLOOKUP(A209,'TB MAIN'!$A$4:$J$541,7,0),0)</f>
        <v>0</v>
      </c>
      <c r="F209" s="1">
        <f>+IFERROR(VLOOKUP(A209,'TB MAIN'!$A$4:$J$541,10,0),0)</f>
        <v>55663</v>
      </c>
      <c r="G209" s="1">
        <f t="shared" si="9"/>
        <v>0</v>
      </c>
      <c r="H209" s="1">
        <f t="shared" si="10"/>
        <v>0</v>
      </c>
      <c r="I209" s="1">
        <f t="shared" si="11"/>
        <v>0</v>
      </c>
    </row>
    <row r="210" spans="1:9" ht="15" customHeight="1">
      <c r="A210" s="10" t="s">
        <v>214</v>
      </c>
      <c r="B210" s="12">
        <v>4609940</v>
      </c>
      <c r="C210" s="11"/>
      <c r="E210" s="1">
        <f>+IFERROR(VLOOKUP(A210,'TB MAIN'!$A$4:$J$541,7,0),0)</f>
        <v>4609940</v>
      </c>
      <c r="F210" s="1">
        <f>+IFERROR(VLOOKUP(A210,'TB MAIN'!$A$4:$J$541,10,0),0)</f>
        <v>0</v>
      </c>
      <c r="G210" s="1">
        <f t="shared" si="9"/>
        <v>0</v>
      </c>
      <c r="H210" s="1">
        <f t="shared" si="10"/>
        <v>0</v>
      </c>
      <c r="I210" s="1">
        <f t="shared" si="11"/>
        <v>0</v>
      </c>
    </row>
    <row r="211" spans="1:9" ht="15" customHeight="1">
      <c r="A211" s="10" t="s">
        <v>215</v>
      </c>
      <c r="B211" s="12">
        <v>18479</v>
      </c>
      <c r="C211" s="11"/>
      <c r="E211" s="1">
        <f>+IFERROR(VLOOKUP(A211,'TB MAIN'!$A$4:$J$541,7,0),0)</f>
        <v>18479</v>
      </c>
      <c r="F211" s="1">
        <f>+IFERROR(VLOOKUP(A211,'TB MAIN'!$A$4:$J$541,10,0),0)</f>
        <v>0</v>
      </c>
      <c r="G211" s="1">
        <f t="shared" si="9"/>
        <v>0</v>
      </c>
      <c r="H211" s="1">
        <f t="shared" si="10"/>
        <v>0</v>
      </c>
      <c r="I211" s="1">
        <f t="shared" si="11"/>
        <v>0</v>
      </c>
    </row>
    <row r="212" spans="1:9" ht="15" customHeight="1">
      <c r="A212" s="10" t="s">
        <v>216</v>
      </c>
      <c r="B212" s="11"/>
      <c r="C212" s="12">
        <v>15790</v>
      </c>
      <c r="E212" s="1">
        <f>+IFERROR(VLOOKUP(A212,'TB MAIN'!$A$4:$J$541,7,0),0)</f>
        <v>0</v>
      </c>
      <c r="F212" s="1">
        <f>+IFERROR(VLOOKUP(A212,'TB MAIN'!$A$4:$J$541,10,0),0)</f>
        <v>15790</v>
      </c>
      <c r="G212" s="1">
        <f t="shared" si="9"/>
        <v>0</v>
      </c>
      <c r="H212" s="1">
        <f t="shared" si="10"/>
        <v>0</v>
      </c>
      <c r="I212" s="1">
        <f t="shared" si="11"/>
        <v>0</v>
      </c>
    </row>
    <row r="213" spans="1:9" ht="15" customHeight="1">
      <c r="A213" s="10" t="s">
        <v>217</v>
      </c>
      <c r="B213" s="12">
        <v>6000</v>
      </c>
      <c r="C213" s="11"/>
      <c r="E213" s="1">
        <f>+IFERROR(VLOOKUP(A213,'TB MAIN'!$A$4:$J$541,7,0),0)</f>
        <v>6000</v>
      </c>
      <c r="F213" s="1">
        <f>+IFERROR(VLOOKUP(A213,'TB MAIN'!$A$4:$J$541,10,0),0)</f>
        <v>0</v>
      </c>
      <c r="G213" s="1">
        <f t="shared" si="9"/>
        <v>0</v>
      </c>
      <c r="H213" s="1">
        <f t="shared" si="10"/>
        <v>0</v>
      </c>
      <c r="I213" s="1">
        <f t="shared" si="11"/>
        <v>0</v>
      </c>
    </row>
    <row r="214" spans="1:9" ht="15" customHeight="1">
      <c r="A214" s="10" t="s">
        <v>218</v>
      </c>
      <c r="B214" s="12">
        <v>26000</v>
      </c>
      <c r="C214" s="11"/>
      <c r="E214" s="1">
        <f>+IFERROR(VLOOKUP(A214,'TB MAIN'!$A$4:$J$541,7,0),0)</f>
        <v>26000</v>
      </c>
      <c r="F214" s="1">
        <f>+IFERROR(VLOOKUP(A214,'TB MAIN'!$A$4:$J$541,10,0),0)</f>
        <v>0</v>
      </c>
      <c r="G214" s="1">
        <f t="shared" si="9"/>
        <v>0</v>
      </c>
      <c r="H214" s="1">
        <f t="shared" si="10"/>
        <v>0</v>
      </c>
      <c r="I214" s="1">
        <f t="shared" si="11"/>
        <v>0</v>
      </c>
    </row>
    <row r="215" spans="1:9" ht="15" customHeight="1">
      <c r="A215" s="10" t="s">
        <v>220</v>
      </c>
      <c r="B215" s="12">
        <v>1021090</v>
      </c>
      <c r="C215" s="11"/>
      <c r="E215" s="1">
        <f>+IFERROR(VLOOKUP(A215,'TB MAIN'!$A$4:$J$541,7,0),0)</f>
        <v>1021090</v>
      </c>
      <c r="F215" s="1">
        <f>+IFERROR(VLOOKUP(A215,'TB MAIN'!$A$4:$J$541,10,0),0)</f>
        <v>0</v>
      </c>
      <c r="G215" s="1">
        <f t="shared" si="9"/>
        <v>0</v>
      </c>
      <c r="H215" s="1">
        <f t="shared" si="10"/>
        <v>0</v>
      </c>
      <c r="I215" s="1">
        <f t="shared" si="11"/>
        <v>0</v>
      </c>
    </row>
    <row r="216" spans="1:9" ht="15" customHeight="1">
      <c r="A216" s="10" t="s">
        <v>222</v>
      </c>
      <c r="B216" s="12">
        <v>6404071</v>
      </c>
      <c r="C216" s="11"/>
      <c r="E216" s="1">
        <f>+IFERROR(VLOOKUP(A216,'TB MAIN'!$A$4:$J$541,7,0),0)</f>
        <v>6404071</v>
      </c>
      <c r="F216" s="1">
        <f>+IFERROR(VLOOKUP(A216,'TB MAIN'!$A$4:$J$541,10,0),0)</f>
        <v>0</v>
      </c>
      <c r="G216" s="1">
        <f t="shared" si="9"/>
        <v>0</v>
      </c>
      <c r="H216" s="1">
        <f t="shared" si="10"/>
        <v>0</v>
      </c>
      <c r="I216" s="1">
        <f t="shared" si="11"/>
        <v>0</v>
      </c>
    </row>
    <row r="217" spans="1:9" ht="15" customHeight="1">
      <c r="A217" s="10" t="s">
        <v>223</v>
      </c>
      <c r="B217" s="12">
        <v>479434</v>
      </c>
      <c r="C217" s="11"/>
      <c r="E217" s="1">
        <f>+IFERROR(VLOOKUP(A217,'TB MAIN'!$A$4:$J$541,7,0),0)</f>
        <v>479434</v>
      </c>
      <c r="F217" s="1">
        <f>+IFERROR(VLOOKUP(A217,'TB MAIN'!$A$4:$J$541,10,0),0)</f>
        <v>0</v>
      </c>
      <c r="G217" s="1">
        <f t="shared" si="9"/>
        <v>0</v>
      </c>
      <c r="H217" s="1">
        <f t="shared" si="10"/>
        <v>0</v>
      </c>
      <c r="I217" s="1">
        <f t="shared" si="11"/>
        <v>0</v>
      </c>
    </row>
    <row r="218" spans="1:9" ht="15" customHeight="1">
      <c r="A218" s="10" t="s">
        <v>224</v>
      </c>
      <c r="B218" s="11"/>
      <c r="C218" s="12">
        <v>30472</v>
      </c>
      <c r="E218" s="1">
        <f>+IFERROR(VLOOKUP(A218,'TB MAIN'!$A$4:$J$541,7,0),0)</f>
        <v>0</v>
      </c>
      <c r="F218" s="1">
        <f>+IFERROR(VLOOKUP(A218,'TB MAIN'!$A$4:$J$541,10,0),0)</f>
        <v>30472</v>
      </c>
      <c r="G218" s="1">
        <f t="shared" si="9"/>
        <v>0</v>
      </c>
      <c r="H218" s="1">
        <f t="shared" si="10"/>
        <v>0</v>
      </c>
      <c r="I218" s="1">
        <f t="shared" si="11"/>
        <v>0</v>
      </c>
    </row>
    <row r="219" spans="1:9" ht="15" customHeight="1">
      <c r="A219" s="10" t="s">
        <v>225</v>
      </c>
      <c r="B219" s="12">
        <v>239427</v>
      </c>
      <c r="C219" s="11"/>
      <c r="E219" s="1">
        <f>+IFERROR(VLOOKUP(A219,'TB MAIN'!$A$4:$J$541,7,0),0)</f>
        <v>239427</v>
      </c>
      <c r="F219" s="1">
        <f>+IFERROR(VLOOKUP(A219,'TB MAIN'!$A$4:$J$541,10,0),0)</f>
        <v>0</v>
      </c>
      <c r="G219" s="1">
        <f t="shared" si="9"/>
        <v>0</v>
      </c>
      <c r="H219" s="1">
        <f t="shared" si="10"/>
        <v>0</v>
      </c>
      <c r="I219" s="1">
        <f t="shared" si="11"/>
        <v>0</v>
      </c>
    </row>
    <row r="220" spans="1:9" ht="15" customHeight="1">
      <c r="A220" s="10" t="s">
        <v>226</v>
      </c>
      <c r="B220" s="12">
        <v>15000</v>
      </c>
      <c r="C220" s="11"/>
      <c r="E220" s="1">
        <f>+IFERROR(VLOOKUP(A220,'TB MAIN'!$A$4:$J$541,7,0),0)</f>
        <v>15000</v>
      </c>
      <c r="F220" s="1">
        <f>+IFERROR(VLOOKUP(A220,'TB MAIN'!$A$4:$J$541,10,0),0)</f>
        <v>0</v>
      </c>
      <c r="G220" s="1">
        <f t="shared" si="9"/>
        <v>0</v>
      </c>
      <c r="H220" s="1">
        <f t="shared" si="10"/>
        <v>0</v>
      </c>
      <c r="I220" s="1">
        <f t="shared" si="11"/>
        <v>0</v>
      </c>
    </row>
    <row r="221" spans="1:9" ht="15" customHeight="1">
      <c r="A221" s="10" t="s">
        <v>227</v>
      </c>
      <c r="B221" s="12">
        <v>67712.89</v>
      </c>
      <c r="C221" s="11"/>
      <c r="E221" s="1">
        <f>+IFERROR(VLOOKUP(A221,'TB MAIN'!$A$4:$J$541,7,0),0)</f>
        <v>67712.89</v>
      </c>
      <c r="F221" s="1">
        <f>+IFERROR(VLOOKUP(A221,'TB MAIN'!$A$4:$J$541,10,0),0)</f>
        <v>0</v>
      </c>
      <c r="G221" s="1">
        <f t="shared" si="9"/>
        <v>0</v>
      </c>
      <c r="H221" s="1">
        <f t="shared" si="10"/>
        <v>0</v>
      </c>
      <c r="I221" s="1">
        <f t="shared" si="11"/>
        <v>0</v>
      </c>
    </row>
    <row r="222" spans="1:9" ht="15" customHeight="1">
      <c r="A222" s="10" t="s">
        <v>229</v>
      </c>
      <c r="B222" s="11"/>
      <c r="C222" s="12">
        <v>14593</v>
      </c>
      <c r="E222" s="1">
        <f>+IFERROR(VLOOKUP(A222,'TB MAIN'!$A$4:$J$541,7,0),0)</f>
        <v>0</v>
      </c>
      <c r="F222" s="1">
        <f>+IFERROR(VLOOKUP(A222,'TB MAIN'!$A$4:$J$541,10,0),0)</f>
        <v>14593</v>
      </c>
      <c r="G222" s="1">
        <f t="shared" si="9"/>
        <v>0</v>
      </c>
      <c r="H222" s="1">
        <f t="shared" si="10"/>
        <v>0</v>
      </c>
      <c r="I222" s="1">
        <f t="shared" si="11"/>
        <v>0</v>
      </c>
    </row>
    <row r="223" spans="1:9" ht="15" customHeight="1">
      <c r="A223" s="10" t="s">
        <v>230</v>
      </c>
      <c r="B223" s="12">
        <v>4000</v>
      </c>
      <c r="C223" s="11"/>
      <c r="E223" s="1">
        <f>+IFERROR(VLOOKUP(A223,'TB MAIN'!$A$4:$J$541,7,0),0)</f>
        <v>4000</v>
      </c>
      <c r="F223" s="1">
        <f>+IFERROR(VLOOKUP(A223,'TB MAIN'!$A$4:$J$541,10,0),0)</f>
        <v>0</v>
      </c>
      <c r="G223" s="1">
        <f t="shared" si="9"/>
        <v>0</v>
      </c>
      <c r="H223" s="1">
        <f t="shared" si="10"/>
        <v>0</v>
      </c>
      <c r="I223" s="1">
        <f t="shared" si="11"/>
        <v>0</v>
      </c>
    </row>
    <row r="224" spans="1:9" ht="15" customHeight="1">
      <c r="A224" s="10" t="s">
        <v>231</v>
      </c>
      <c r="B224" s="12">
        <v>34000</v>
      </c>
      <c r="C224" s="11"/>
      <c r="E224" s="1">
        <f>+IFERROR(VLOOKUP(A224,'TB MAIN'!$A$4:$J$541,7,0),0)</f>
        <v>34000</v>
      </c>
      <c r="F224" s="1">
        <f>+IFERROR(VLOOKUP(A224,'TB MAIN'!$A$4:$J$541,10,0),0)</f>
        <v>0</v>
      </c>
      <c r="G224" s="1">
        <f t="shared" si="9"/>
        <v>0</v>
      </c>
      <c r="H224" s="1">
        <f t="shared" si="10"/>
        <v>0</v>
      </c>
      <c r="I224" s="1">
        <f t="shared" si="11"/>
        <v>0</v>
      </c>
    </row>
    <row r="225" spans="1:9" ht="15" customHeight="1">
      <c r="A225" s="10" t="s">
        <v>1297</v>
      </c>
      <c r="B225" s="12">
        <v>3355331</v>
      </c>
      <c r="C225" s="11"/>
      <c r="E225" s="1">
        <f>+IFERROR(VLOOKUP(A225,'TB MAIN'!$A$4:$J$541,7,0),0)</f>
        <v>3355331</v>
      </c>
      <c r="F225" s="1">
        <f>+IFERROR(VLOOKUP(A225,'TB MAIN'!$A$4:$J$541,10,0),0)</f>
        <v>0</v>
      </c>
      <c r="G225" s="1">
        <f t="shared" si="9"/>
        <v>0</v>
      </c>
      <c r="H225" s="1">
        <f t="shared" si="10"/>
        <v>0</v>
      </c>
      <c r="I225" s="1">
        <f t="shared" si="11"/>
        <v>0</v>
      </c>
    </row>
    <row r="226" spans="1:9" ht="15" customHeight="1">
      <c r="A226" s="10" t="s">
        <v>232</v>
      </c>
      <c r="B226" s="11"/>
      <c r="C226" s="12">
        <v>236422</v>
      </c>
      <c r="E226" s="1">
        <f>+IFERROR(VLOOKUP(A226,'TB MAIN'!$A$4:$J$541,7,0),0)</f>
        <v>0</v>
      </c>
      <c r="F226" s="1">
        <f>+IFERROR(VLOOKUP(A226,'TB MAIN'!$A$4:$J$541,10,0),0)</f>
        <v>236422</v>
      </c>
      <c r="G226" s="1">
        <f t="shared" si="9"/>
        <v>0</v>
      </c>
      <c r="H226" s="1">
        <f t="shared" si="10"/>
        <v>0</v>
      </c>
      <c r="I226" s="1">
        <f t="shared" si="11"/>
        <v>0</v>
      </c>
    </row>
    <row r="227" spans="1:9" ht="15" customHeight="1">
      <c r="A227" s="10" t="s">
        <v>233</v>
      </c>
      <c r="B227" s="11"/>
      <c r="C227" s="12">
        <v>22370</v>
      </c>
      <c r="E227" s="1">
        <f>+IFERROR(VLOOKUP(A227,'TB MAIN'!$A$4:$J$541,7,0),0)</f>
        <v>0</v>
      </c>
      <c r="F227" s="1">
        <f>+IFERROR(VLOOKUP(A227,'TB MAIN'!$A$4:$J$541,10,0),0)</f>
        <v>22370</v>
      </c>
      <c r="G227" s="1">
        <f t="shared" si="9"/>
        <v>0</v>
      </c>
      <c r="H227" s="1">
        <f t="shared" si="10"/>
        <v>0</v>
      </c>
      <c r="I227" s="1">
        <f t="shared" si="11"/>
        <v>0</v>
      </c>
    </row>
    <row r="228" spans="1:9" ht="15" customHeight="1">
      <c r="A228" s="10" t="s">
        <v>234</v>
      </c>
      <c r="B228" s="12">
        <v>185312</v>
      </c>
      <c r="C228" s="11"/>
      <c r="E228" s="1">
        <f>+IFERROR(VLOOKUP(A228,'TB MAIN'!$A$4:$J$541,7,0),0)</f>
        <v>185312</v>
      </c>
      <c r="F228" s="1">
        <f>+IFERROR(VLOOKUP(A228,'TB MAIN'!$A$4:$J$541,10,0),0)</f>
        <v>0</v>
      </c>
      <c r="G228" s="1">
        <f t="shared" si="9"/>
        <v>0</v>
      </c>
      <c r="H228" s="1">
        <f t="shared" si="10"/>
        <v>0</v>
      </c>
      <c r="I228" s="1">
        <f t="shared" si="11"/>
        <v>0</v>
      </c>
    </row>
    <row r="229" spans="1:9" ht="15" customHeight="1">
      <c r="A229" s="10" t="s">
        <v>235</v>
      </c>
      <c r="B229" s="12">
        <v>53120</v>
      </c>
      <c r="C229" s="11"/>
      <c r="E229" s="1">
        <f>+IFERROR(VLOOKUP(A229,'TB MAIN'!$A$4:$J$541,7,0),0)</f>
        <v>53120</v>
      </c>
      <c r="F229" s="1">
        <f>+IFERROR(VLOOKUP(A229,'TB MAIN'!$A$4:$J$541,10,0),0)</f>
        <v>0</v>
      </c>
      <c r="G229" s="1">
        <f t="shared" si="9"/>
        <v>0</v>
      </c>
      <c r="H229" s="1">
        <f t="shared" si="10"/>
        <v>0</v>
      </c>
      <c r="I229" s="1">
        <f t="shared" si="11"/>
        <v>0</v>
      </c>
    </row>
    <row r="230" spans="1:9" ht="15" customHeight="1">
      <c r="A230" s="10" t="s">
        <v>236</v>
      </c>
      <c r="B230" s="12">
        <v>119340</v>
      </c>
      <c r="C230" s="11"/>
      <c r="E230" s="1">
        <f>+IFERROR(VLOOKUP(A230,'TB MAIN'!$A$4:$J$541,7,0),0)</f>
        <v>119340</v>
      </c>
      <c r="F230" s="1">
        <f>+IFERROR(VLOOKUP(A230,'TB MAIN'!$A$4:$J$541,10,0),0)</f>
        <v>0</v>
      </c>
      <c r="G230" s="1">
        <f t="shared" si="9"/>
        <v>0</v>
      </c>
      <c r="H230" s="1">
        <f t="shared" si="10"/>
        <v>0</v>
      </c>
      <c r="I230" s="1">
        <f t="shared" si="11"/>
        <v>0</v>
      </c>
    </row>
    <row r="231" spans="1:9" ht="15" customHeight="1">
      <c r="A231" s="10" t="s">
        <v>237</v>
      </c>
      <c r="B231" s="11"/>
      <c r="C231" s="12">
        <v>4490</v>
      </c>
      <c r="E231" s="1">
        <f>+IFERROR(VLOOKUP(A231,'TB MAIN'!$A$4:$J$541,7,0),0)</f>
        <v>0</v>
      </c>
      <c r="F231" s="1">
        <f>+IFERROR(VLOOKUP(A231,'TB MAIN'!$A$4:$J$541,10,0),0)</f>
        <v>4490</v>
      </c>
      <c r="G231" s="1">
        <f t="shared" si="9"/>
        <v>0</v>
      </c>
      <c r="H231" s="1">
        <f t="shared" si="10"/>
        <v>0</v>
      </c>
      <c r="I231" s="1">
        <f t="shared" si="11"/>
        <v>0</v>
      </c>
    </row>
    <row r="232" spans="1:9" ht="15" customHeight="1">
      <c r="A232" s="10" t="s">
        <v>238</v>
      </c>
      <c r="B232" s="12">
        <v>918177.38</v>
      </c>
      <c r="C232" s="11"/>
      <c r="E232" s="1">
        <f>+IFERROR(VLOOKUP(A232,'TB MAIN'!$A$4:$J$541,7,0),0)</f>
        <v>918177.38</v>
      </c>
      <c r="F232" s="1">
        <f>+IFERROR(VLOOKUP(A232,'TB MAIN'!$A$4:$J$541,10,0),0)</f>
        <v>0</v>
      </c>
      <c r="G232" s="1">
        <f t="shared" si="9"/>
        <v>0</v>
      </c>
      <c r="H232" s="1">
        <f t="shared" si="10"/>
        <v>0</v>
      </c>
      <c r="I232" s="1">
        <f t="shared" si="11"/>
        <v>0</v>
      </c>
    </row>
    <row r="233" spans="1:9" ht="15" customHeight="1">
      <c r="A233" s="10" t="s">
        <v>239</v>
      </c>
      <c r="B233" s="12">
        <v>202053</v>
      </c>
      <c r="C233" s="11"/>
      <c r="E233" s="1">
        <f>+IFERROR(VLOOKUP(A233,'TB MAIN'!$A$4:$J$541,7,0),0)</f>
        <v>202053</v>
      </c>
      <c r="F233" s="1">
        <f>+IFERROR(VLOOKUP(A233,'TB MAIN'!$A$4:$J$541,10,0),0)</f>
        <v>0</v>
      </c>
      <c r="G233" s="1">
        <f t="shared" si="9"/>
        <v>0</v>
      </c>
      <c r="H233" s="1">
        <f t="shared" si="10"/>
        <v>0</v>
      </c>
      <c r="I233" s="1">
        <f t="shared" si="11"/>
        <v>0</v>
      </c>
    </row>
    <row r="234" spans="1:9" ht="15" customHeight="1">
      <c r="A234" s="10" t="s">
        <v>240</v>
      </c>
      <c r="B234" s="12">
        <v>312000</v>
      </c>
      <c r="C234" s="11"/>
      <c r="E234" s="1">
        <f>+IFERROR(VLOOKUP(A234,'TB MAIN'!$A$4:$J$541,7,0),0)</f>
        <v>312000</v>
      </c>
      <c r="F234" s="1">
        <f>+IFERROR(VLOOKUP(A234,'TB MAIN'!$A$4:$J$541,10,0),0)</f>
        <v>0</v>
      </c>
      <c r="G234" s="1">
        <f t="shared" si="9"/>
        <v>0</v>
      </c>
      <c r="H234" s="1">
        <f t="shared" si="10"/>
        <v>0</v>
      </c>
      <c r="I234" s="1">
        <f t="shared" si="11"/>
        <v>0</v>
      </c>
    </row>
    <row r="235" spans="1:9" ht="15" customHeight="1">
      <c r="A235" s="10" t="s">
        <v>241</v>
      </c>
      <c r="B235" s="12">
        <v>104473</v>
      </c>
      <c r="C235" s="11"/>
      <c r="E235" s="1">
        <f>+IFERROR(VLOOKUP(A235,'TB MAIN'!$A$4:$J$541,7,0),0)</f>
        <v>104473</v>
      </c>
      <c r="F235" s="1">
        <f>+IFERROR(VLOOKUP(A235,'TB MAIN'!$A$4:$J$541,10,0),0)</f>
        <v>0</v>
      </c>
      <c r="G235" s="1">
        <f t="shared" si="9"/>
        <v>0</v>
      </c>
      <c r="H235" s="1">
        <f t="shared" si="10"/>
        <v>0</v>
      </c>
      <c r="I235" s="1">
        <f t="shared" si="11"/>
        <v>0</v>
      </c>
    </row>
    <row r="236" spans="1:9" ht="15" customHeight="1">
      <c r="A236" s="10" t="s">
        <v>242</v>
      </c>
      <c r="B236" s="12">
        <v>25000</v>
      </c>
      <c r="C236" s="11"/>
      <c r="E236" s="1">
        <f>+IFERROR(VLOOKUP(A236,'TB MAIN'!$A$4:$J$541,7,0),0)</f>
        <v>25000</v>
      </c>
      <c r="F236" s="1">
        <f>+IFERROR(VLOOKUP(A236,'TB MAIN'!$A$4:$J$541,10,0),0)</f>
        <v>0</v>
      </c>
      <c r="G236" s="1">
        <f t="shared" si="9"/>
        <v>0</v>
      </c>
      <c r="H236" s="1">
        <f t="shared" si="10"/>
        <v>0</v>
      </c>
      <c r="I236" s="1">
        <f t="shared" si="11"/>
        <v>0</v>
      </c>
    </row>
    <row r="237" spans="1:9" ht="15" customHeight="1">
      <c r="A237" s="10" t="s">
        <v>243</v>
      </c>
      <c r="B237" s="12">
        <v>501681</v>
      </c>
      <c r="C237" s="11"/>
      <c r="E237" s="1">
        <f>+IFERROR(VLOOKUP(A237,'TB MAIN'!$A$4:$J$541,7,0),0)</f>
        <v>501681</v>
      </c>
      <c r="F237" s="1">
        <f>+IFERROR(VLOOKUP(A237,'TB MAIN'!$A$4:$J$541,10,0),0)</f>
        <v>0</v>
      </c>
      <c r="G237" s="1">
        <f t="shared" si="9"/>
        <v>0</v>
      </c>
      <c r="H237" s="1">
        <f t="shared" si="10"/>
        <v>0</v>
      </c>
      <c r="I237" s="1">
        <f t="shared" si="11"/>
        <v>0</v>
      </c>
    </row>
    <row r="238" spans="1:9" ht="15" customHeight="1">
      <c r="A238" s="10" t="s">
        <v>244</v>
      </c>
      <c r="B238" s="12">
        <v>361758</v>
      </c>
      <c r="C238" s="11"/>
      <c r="E238" s="1">
        <f>+IFERROR(VLOOKUP(A238,'TB MAIN'!$A$4:$J$541,7,0),0)</f>
        <v>361758</v>
      </c>
      <c r="F238" s="1">
        <f>+IFERROR(VLOOKUP(A238,'TB MAIN'!$A$4:$J$541,10,0),0)</f>
        <v>0</v>
      </c>
      <c r="G238" s="1">
        <f t="shared" si="9"/>
        <v>0</v>
      </c>
      <c r="H238" s="1">
        <f t="shared" si="10"/>
        <v>0</v>
      </c>
      <c r="I238" s="1">
        <f t="shared" si="11"/>
        <v>0</v>
      </c>
    </row>
    <row r="239" spans="1:9" ht="15" customHeight="1">
      <c r="A239" s="10" t="s">
        <v>245</v>
      </c>
      <c r="B239" s="12">
        <v>33607</v>
      </c>
      <c r="C239" s="11"/>
      <c r="E239" s="1">
        <f>+IFERROR(VLOOKUP(A239,'TB MAIN'!$A$4:$J$541,7,0),0)</f>
        <v>33607</v>
      </c>
      <c r="F239" s="1">
        <f>+IFERROR(VLOOKUP(A239,'TB MAIN'!$A$4:$J$541,10,0),0)</f>
        <v>0</v>
      </c>
      <c r="G239" s="1">
        <f t="shared" si="9"/>
        <v>0</v>
      </c>
      <c r="H239" s="1">
        <f t="shared" si="10"/>
        <v>0</v>
      </c>
      <c r="I239" s="1">
        <f t="shared" si="11"/>
        <v>0</v>
      </c>
    </row>
    <row r="240" spans="1:9" ht="15" customHeight="1">
      <c r="A240" s="10" t="s">
        <v>246</v>
      </c>
      <c r="B240" s="12">
        <v>2080</v>
      </c>
      <c r="C240" s="11"/>
      <c r="E240" s="1">
        <f>+IFERROR(VLOOKUP(A240,'TB MAIN'!$A$4:$J$541,7,0),0)</f>
        <v>2080</v>
      </c>
      <c r="F240" s="1">
        <f>+IFERROR(VLOOKUP(A240,'TB MAIN'!$A$4:$J$541,10,0),0)</f>
        <v>0</v>
      </c>
      <c r="G240" s="1">
        <f t="shared" si="9"/>
        <v>0</v>
      </c>
      <c r="H240" s="1">
        <f t="shared" si="10"/>
        <v>0</v>
      </c>
      <c r="I240" s="1">
        <f t="shared" si="11"/>
        <v>0</v>
      </c>
    </row>
    <row r="241" spans="1:9" ht="15" customHeight="1">
      <c r="A241" s="10" t="s">
        <v>247</v>
      </c>
      <c r="B241" s="12">
        <v>852133</v>
      </c>
      <c r="C241" s="11"/>
      <c r="E241" s="1">
        <f>+IFERROR(VLOOKUP(A241,'TB MAIN'!$A$4:$J$541,7,0),0)</f>
        <v>852133</v>
      </c>
      <c r="F241" s="1">
        <f>+IFERROR(VLOOKUP(A241,'TB MAIN'!$A$4:$J$541,10,0),0)</f>
        <v>0</v>
      </c>
      <c r="G241" s="1">
        <f t="shared" si="9"/>
        <v>0</v>
      </c>
      <c r="H241" s="1">
        <f t="shared" si="10"/>
        <v>0</v>
      </c>
      <c r="I241" s="1">
        <f t="shared" si="11"/>
        <v>0</v>
      </c>
    </row>
    <row r="242" spans="1:9" ht="15" customHeight="1">
      <c r="A242" s="10" t="s">
        <v>248</v>
      </c>
      <c r="B242" s="12">
        <v>2650</v>
      </c>
      <c r="C242" s="11"/>
      <c r="E242" s="1">
        <f>+IFERROR(VLOOKUP(A242,'TB MAIN'!$A$4:$J$541,7,0),0)</f>
        <v>2650</v>
      </c>
      <c r="F242" s="1">
        <f>+IFERROR(VLOOKUP(A242,'TB MAIN'!$A$4:$J$541,10,0),0)</f>
        <v>0</v>
      </c>
      <c r="G242" s="1">
        <f t="shared" si="9"/>
        <v>0</v>
      </c>
      <c r="H242" s="1">
        <f t="shared" si="10"/>
        <v>0</v>
      </c>
      <c r="I242" s="1">
        <f t="shared" si="11"/>
        <v>0</v>
      </c>
    </row>
    <row r="243" spans="1:9" ht="15" customHeight="1">
      <c r="A243" s="10" t="s">
        <v>249</v>
      </c>
      <c r="B243" s="12">
        <v>500</v>
      </c>
      <c r="C243" s="11"/>
      <c r="E243" s="1">
        <f>+IFERROR(VLOOKUP(A243,'TB MAIN'!$A$4:$J$541,7,0),0)</f>
        <v>500</v>
      </c>
      <c r="F243" s="1">
        <f>+IFERROR(VLOOKUP(A243,'TB MAIN'!$A$4:$J$541,10,0),0)</f>
        <v>0</v>
      </c>
      <c r="G243" s="1">
        <f t="shared" si="9"/>
        <v>0</v>
      </c>
      <c r="H243" s="1">
        <f t="shared" si="10"/>
        <v>0</v>
      </c>
      <c r="I243" s="1">
        <f t="shared" si="11"/>
        <v>0</v>
      </c>
    </row>
    <row r="244" spans="1:9" ht="15" customHeight="1">
      <c r="A244" s="10" t="s">
        <v>250</v>
      </c>
      <c r="B244" s="12">
        <v>447749</v>
      </c>
      <c r="C244" s="11"/>
      <c r="E244" s="1">
        <f>+IFERROR(VLOOKUP(A244,'TB MAIN'!$A$4:$J$541,7,0),0)</f>
        <v>447749</v>
      </c>
      <c r="F244" s="1">
        <f>+IFERROR(VLOOKUP(A244,'TB MAIN'!$A$4:$J$541,10,0),0)</f>
        <v>0</v>
      </c>
      <c r="G244" s="1">
        <f t="shared" si="9"/>
        <v>0</v>
      </c>
      <c r="H244" s="1">
        <f t="shared" si="10"/>
        <v>0</v>
      </c>
      <c r="I244" s="1">
        <f t="shared" si="11"/>
        <v>0</v>
      </c>
    </row>
    <row r="245" spans="1:9" ht="15" customHeight="1">
      <c r="A245" s="10" t="s">
        <v>643</v>
      </c>
      <c r="B245" s="11"/>
      <c r="C245" s="12">
        <v>490</v>
      </c>
      <c r="E245" s="1">
        <f>+IFERROR(VLOOKUP(A245,'TB MAIN'!$A$4:$J$541,7,0),0)</f>
        <v>0</v>
      </c>
      <c r="F245" s="1">
        <f>+IFERROR(VLOOKUP(A245,'TB MAIN'!$A$4:$J$541,10,0),0)</f>
        <v>490</v>
      </c>
      <c r="G245" s="1">
        <f t="shared" si="9"/>
        <v>0</v>
      </c>
      <c r="H245" s="1">
        <f t="shared" si="10"/>
        <v>0</v>
      </c>
      <c r="I245" s="1">
        <f t="shared" si="11"/>
        <v>0</v>
      </c>
    </row>
    <row r="246" spans="1:9" ht="15" customHeight="1">
      <c r="A246" s="10" t="s">
        <v>251</v>
      </c>
      <c r="B246" s="12">
        <v>210000</v>
      </c>
      <c r="C246" s="11"/>
      <c r="E246" s="1">
        <f>+IFERROR(VLOOKUP(A246,'TB MAIN'!$A$4:$J$541,7,0),0)</f>
        <v>210000</v>
      </c>
      <c r="F246" s="1">
        <f>+IFERROR(VLOOKUP(A246,'TB MAIN'!$A$4:$J$541,10,0),0)</f>
        <v>0</v>
      </c>
      <c r="G246" s="1">
        <f t="shared" si="9"/>
        <v>0</v>
      </c>
      <c r="H246" s="1">
        <f t="shared" si="10"/>
        <v>0</v>
      </c>
      <c r="I246" s="1">
        <f t="shared" si="11"/>
        <v>0</v>
      </c>
    </row>
    <row r="247" spans="1:9" ht="15" customHeight="1">
      <c r="A247" s="10" t="s">
        <v>252</v>
      </c>
      <c r="B247" s="12">
        <v>20000</v>
      </c>
      <c r="C247" s="11"/>
      <c r="E247" s="1">
        <f>+IFERROR(VLOOKUP(A247,'TB MAIN'!$A$4:$J$541,7,0),0)</f>
        <v>20000</v>
      </c>
      <c r="F247" s="1">
        <f>+IFERROR(VLOOKUP(A247,'TB MAIN'!$A$4:$J$541,10,0),0)</f>
        <v>0</v>
      </c>
      <c r="G247" s="1">
        <f t="shared" si="9"/>
        <v>0</v>
      </c>
      <c r="H247" s="1">
        <f t="shared" si="10"/>
        <v>0</v>
      </c>
      <c r="I247" s="1">
        <f t="shared" si="11"/>
        <v>0</v>
      </c>
    </row>
    <row r="248" spans="1:9" ht="15" customHeight="1">
      <c r="A248" s="10" t="s">
        <v>253</v>
      </c>
      <c r="B248" s="11"/>
      <c r="C248" s="12">
        <v>497880</v>
      </c>
      <c r="E248" s="1">
        <f>+IFERROR(VLOOKUP(A248,'TB MAIN'!$A$4:$J$541,7,0),0)</f>
        <v>0</v>
      </c>
      <c r="F248" s="1">
        <f>+IFERROR(VLOOKUP(A248,'TB MAIN'!$A$4:$J$541,10,0),0)</f>
        <v>497880</v>
      </c>
      <c r="G248" s="1">
        <f t="shared" si="9"/>
        <v>0</v>
      </c>
      <c r="H248" s="1">
        <f t="shared" si="10"/>
        <v>0</v>
      </c>
      <c r="I248" s="1">
        <f t="shared" si="11"/>
        <v>0</v>
      </c>
    </row>
    <row r="249" spans="1:9" ht="15" customHeight="1">
      <c r="A249" s="10" t="s">
        <v>254</v>
      </c>
      <c r="B249" s="12">
        <v>7311227.8099999996</v>
      </c>
      <c r="C249" s="11"/>
      <c r="E249" s="1">
        <f>+IFERROR(VLOOKUP(A249,'TB MAIN'!$A$4:$J$541,7,0),0)</f>
        <v>7311227.8099999996</v>
      </c>
      <c r="F249" s="1">
        <f>+IFERROR(VLOOKUP(A249,'TB MAIN'!$A$4:$J$541,10,0),0)</f>
        <v>0</v>
      </c>
      <c r="G249" s="1">
        <f t="shared" si="9"/>
        <v>0</v>
      </c>
      <c r="H249" s="1">
        <f t="shared" si="10"/>
        <v>0</v>
      </c>
      <c r="I249" s="1">
        <f t="shared" si="11"/>
        <v>0</v>
      </c>
    </row>
    <row r="250" spans="1:9" ht="15" customHeight="1">
      <c r="A250" s="10" t="s">
        <v>255</v>
      </c>
      <c r="B250" s="12">
        <v>361125</v>
      </c>
      <c r="C250" s="11"/>
      <c r="E250" s="1">
        <f>+IFERROR(VLOOKUP(A250,'TB MAIN'!$A$4:$J$541,7,0),0)</f>
        <v>361125</v>
      </c>
      <c r="F250" s="1">
        <f>+IFERROR(VLOOKUP(A250,'TB MAIN'!$A$4:$J$541,10,0),0)</f>
        <v>0</v>
      </c>
      <c r="G250" s="1">
        <f t="shared" si="9"/>
        <v>0</v>
      </c>
      <c r="H250" s="1">
        <f t="shared" si="10"/>
        <v>0</v>
      </c>
      <c r="I250" s="1">
        <f t="shared" si="11"/>
        <v>0</v>
      </c>
    </row>
    <row r="251" spans="1:9" ht="15" customHeight="1">
      <c r="A251" s="10" t="s">
        <v>256</v>
      </c>
      <c r="B251" s="11"/>
      <c r="C251" s="12">
        <v>3172</v>
      </c>
      <c r="E251" s="1">
        <f>+IFERROR(VLOOKUP(A251,'TB MAIN'!$A$4:$J$541,7,0),0)</f>
        <v>0</v>
      </c>
      <c r="F251" s="1">
        <f>+IFERROR(VLOOKUP(A251,'TB MAIN'!$A$4:$J$541,10,0),0)</f>
        <v>3172</v>
      </c>
      <c r="G251" s="1">
        <f t="shared" si="9"/>
        <v>0</v>
      </c>
      <c r="H251" s="1">
        <f t="shared" si="10"/>
        <v>0</v>
      </c>
      <c r="I251" s="1">
        <f t="shared" si="11"/>
        <v>0</v>
      </c>
    </row>
    <row r="252" spans="1:9" ht="15" customHeight="1">
      <c r="A252" s="10" t="s">
        <v>257</v>
      </c>
      <c r="B252" s="11"/>
      <c r="C252" s="12">
        <v>274949</v>
      </c>
      <c r="E252" s="1">
        <f>+IFERROR(VLOOKUP(A252,'TB MAIN'!$A$4:$J$541,7,0),0)</f>
        <v>0</v>
      </c>
      <c r="F252" s="1">
        <f>+IFERROR(VLOOKUP(A252,'TB MAIN'!$A$4:$J$541,10,0),0)</f>
        <v>274949</v>
      </c>
      <c r="G252" s="1">
        <f t="shared" si="9"/>
        <v>0</v>
      </c>
      <c r="H252" s="1">
        <f t="shared" si="10"/>
        <v>0</v>
      </c>
      <c r="I252" s="1">
        <f t="shared" si="11"/>
        <v>0</v>
      </c>
    </row>
    <row r="253" spans="1:9" ht="15" customHeight="1">
      <c r="A253" s="10" t="s">
        <v>258</v>
      </c>
      <c r="B253" s="11"/>
      <c r="C253" s="12">
        <v>423402</v>
      </c>
      <c r="E253" s="1">
        <f>+IFERROR(VLOOKUP(A253,'TB MAIN'!$A$4:$J$541,7,0),0)</f>
        <v>0</v>
      </c>
      <c r="F253" s="1">
        <f>+IFERROR(VLOOKUP(A253,'TB MAIN'!$A$4:$J$541,10,0),0)</f>
        <v>423402</v>
      </c>
      <c r="G253" s="1">
        <f t="shared" si="9"/>
        <v>0</v>
      </c>
      <c r="H253" s="1">
        <f t="shared" si="10"/>
        <v>0</v>
      </c>
      <c r="I253" s="1">
        <f t="shared" si="11"/>
        <v>0</v>
      </c>
    </row>
    <row r="254" spans="1:9" ht="15" customHeight="1">
      <c r="A254" s="10" t="s">
        <v>259</v>
      </c>
      <c r="B254" s="11"/>
      <c r="C254" s="12">
        <v>523713</v>
      </c>
      <c r="E254" s="1">
        <f>+IFERROR(VLOOKUP(A254,'TB MAIN'!$A$4:$J$541,7,0),0)</f>
        <v>0</v>
      </c>
      <c r="F254" s="1">
        <f>+IFERROR(VLOOKUP(A254,'TB MAIN'!$A$4:$J$541,10,0),0)</f>
        <v>523713</v>
      </c>
      <c r="G254" s="1">
        <f t="shared" si="9"/>
        <v>0</v>
      </c>
      <c r="H254" s="1">
        <f t="shared" si="10"/>
        <v>0</v>
      </c>
      <c r="I254" s="1">
        <f t="shared" si="11"/>
        <v>0</v>
      </c>
    </row>
    <row r="255" spans="1:9" ht="15" customHeight="1">
      <c r="A255" s="10" t="s">
        <v>260</v>
      </c>
      <c r="B255" s="12">
        <v>281000</v>
      </c>
      <c r="C255" s="11"/>
      <c r="E255" s="1">
        <f>+IFERROR(VLOOKUP(A255,'TB MAIN'!$A$4:$J$541,7,0),0)</f>
        <v>281000</v>
      </c>
      <c r="F255" s="1">
        <f>+IFERROR(VLOOKUP(A255,'TB MAIN'!$A$4:$J$541,10,0),0)</f>
        <v>0</v>
      </c>
      <c r="G255" s="1">
        <f t="shared" si="9"/>
        <v>0</v>
      </c>
      <c r="H255" s="1">
        <f t="shared" si="10"/>
        <v>0</v>
      </c>
      <c r="I255" s="1">
        <f t="shared" si="11"/>
        <v>0</v>
      </c>
    </row>
    <row r="256" spans="1:9" ht="15" customHeight="1">
      <c r="A256" s="10" t="s">
        <v>261</v>
      </c>
      <c r="B256" s="12">
        <v>217294094.62</v>
      </c>
      <c r="C256" s="11"/>
      <c r="E256" s="1">
        <f>+IFERROR(VLOOKUP(A256,'TB MAIN'!$A$4:$J$541,7,0),0)</f>
        <v>217294094.62</v>
      </c>
      <c r="F256" s="1">
        <f>+IFERROR(VLOOKUP(A256,'TB MAIN'!$A$4:$J$541,10,0),0)</f>
        <v>0</v>
      </c>
      <c r="G256" s="1">
        <f t="shared" si="9"/>
        <v>0</v>
      </c>
      <c r="H256" s="1">
        <f t="shared" si="10"/>
        <v>0</v>
      </c>
      <c r="I256" s="1">
        <f t="shared" si="11"/>
        <v>0</v>
      </c>
    </row>
    <row r="257" spans="1:9" ht="15" customHeight="1">
      <c r="A257" s="10" t="s">
        <v>262</v>
      </c>
      <c r="B257" s="11"/>
      <c r="C257" s="12">
        <v>81000</v>
      </c>
      <c r="E257" s="1">
        <f>+IFERROR(VLOOKUP(A257,'TB MAIN'!$A$4:$J$541,7,0),0)</f>
        <v>0</v>
      </c>
      <c r="F257" s="1">
        <f>+IFERROR(VLOOKUP(A257,'TB MAIN'!$A$4:$J$541,10,0),0)</f>
        <v>81000</v>
      </c>
      <c r="G257" s="1">
        <f t="shared" si="9"/>
        <v>0</v>
      </c>
      <c r="H257" s="1">
        <f t="shared" si="10"/>
        <v>0</v>
      </c>
      <c r="I257" s="1">
        <f t="shared" si="11"/>
        <v>0</v>
      </c>
    </row>
    <row r="258" spans="1:9" ht="15" customHeight="1">
      <c r="A258" s="10" t="s">
        <v>263</v>
      </c>
      <c r="B258" s="12">
        <v>161998</v>
      </c>
      <c r="C258" s="11"/>
      <c r="E258" s="1">
        <f>+IFERROR(VLOOKUP(A258,'TB MAIN'!$A$4:$J$541,7,0),0)</f>
        <v>161998</v>
      </c>
      <c r="F258" s="1">
        <f>+IFERROR(VLOOKUP(A258,'TB MAIN'!$A$4:$J$541,10,0),0)</f>
        <v>0</v>
      </c>
      <c r="G258" s="1">
        <f t="shared" si="9"/>
        <v>0</v>
      </c>
      <c r="H258" s="1">
        <f t="shared" si="10"/>
        <v>0</v>
      </c>
      <c r="I258" s="1">
        <f t="shared" si="11"/>
        <v>0</v>
      </c>
    </row>
    <row r="259" spans="1:9" ht="15" customHeight="1">
      <c r="A259" s="10" t="s">
        <v>264</v>
      </c>
      <c r="B259" s="11"/>
      <c r="C259" s="12">
        <v>4956590</v>
      </c>
      <c r="E259" s="1">
        <f>+IFERROR(VLOOKUP(A259,'TB MAIN'!$A$4:$J$541,7,0),0)</f>
        <v>0</v>
      </c>
      <c r="F259" s="1">
        <f>+IFERROR(VLOOKUP(A259,'TB MAIN'!$A$4:$J$541,10,0),0)</f>
        <v>4956590</v>
      </c>
      <c r="G259" s="1">
        <f t="shared" si="9"/>
        <v>0</v>
      </c>
      <c r="H259" s="1">
        <f t="shared" si="10"/>
        <v>0</v>
      </c>
      <c r="I259" s="1">
        <f t="shared" si="11"/>
        <v>0</v>
      </c>
    </row>
    <row r="260" spans="1:9" ht="15" customHeight="1">
      <c r="A260" s="10" t="s">
        <v>265</v>
      </c>
      <c r="B260" s="12">
        <v>3013137</v>
      </c>
      <c r="C260" s="11"/>
      <c r="E260" s="1">
        <f>+IFERROR(VLOOKUP(A260,'TB MAIN'!$A$4:$J$541,7,0),0)</f>
        <v>3013137</v>
      </c>
      <c r="F260" s="1">
        <f>+IFERROR(VLOOKUP(A260,'TB MAIN'!$A$4:$J$541,10,0),0)</f>
        <v>0</v>
      </c>
      <c r="G260" s="1">
        <f t="shared" si="9"/>
        <v>0</v>
      </c>
      <c r="H260" s="1">
        <f t="shared" si="10"/>
        <v>0</v>
      </c>
      <c r="I260" s="1">
        <f t="shared" si="11"/>
        <v>0</v>
      </c>
    </row>
    <row r="261" spans="1:9" ht="15" customHeight="1">
      <c r="A261" s="10" t="s">
        <v>266</v>
      </c>
      <c r="B261" s="11"/>
      <c r="C261" s="12">
        <v>36128</v>
      </c>
      <c r="E261" s="1">
        <f>+IFERROR(VLOOKUP(A261,'TB MAIN'!$A$4:$J$541,7,0),0)</f>
        <v>0</v>
      </c>
      <c r="F261" s="1">
        <f>+IFERROR(VLOOKUP(A261,'TB MAIN'!$A$4:$J$541,10,0),0)</f>
        <v>36128</v>
      </c>
      <c r="G261" s="1">
        <f t="shared" si="9"/>
        <v>0</v>
      </c>
      <c r="H261" s="1">
        <f t="shared" si="10"/>
        <v>0</v>
      </c>
      <c r="I261" s="1">
        <f t="shared" si="11"/>
        <v>0</v>
      </c>
    </row>
    <row r="262" spans="1:9" ht="15" customHeight="1">
      <c r="A262" s="10" t="s">
        <v>267</v>
      </c>
      <c r="B262" s="12">
        <v>299526</v>
      </c>
      <c r="C262" s="11"/>
      <c r="E262" s="1">
        <f>+IFERROR(VLOOKUP(A262,'TB MAIN'!$A$4:$J$541,7,0),0)</f>
        <v>299526</v>
      </c>
      <c r="F262" s="1">
        <f>+IFERROR(VLOOKUP(A262,'TB MAIN'!$A$4:$J$541,10,0),0)</f>
        <v>0</v>
      </c>
      <c r="G262" s="1">
        <f t="shared" si="9"/>
        <v>0</v>
      </c>
      <c r="H262" s="1">
        <f t="shared" si="10"/>
        <v>0</v>
      </c>
      <c r="I262" s="1">
        <f t="shared" si="11"/>
        <v>0</v>
      </c>
    </row>
    <row r="263" spans="1:9" ht="15" customHeight="1">
      <c r="A263" s="10" t="s">
        <v>268</v>
      </c>
      <c r="B263" s="12">
        <v>213763</v>
      </c>
      <c r="C263" s="11"/>
      <c r="E263" s="1">
        <f>+IFERROR(VLOOKUP(A263,'TB MAIN'!$A$4:$J$541,7,0),0)</f>
        <v>213763</v>
      </c>
      <c r="F263" s="1">
        <f>+IFERROR(VLOOKUP(A263,'TB MAIN'!$A$4:$J$541,10,0),0)</f>
        <v>0</v>
      </c>
      <c r="G263" s="1">
        <f t="shared" si="9"/>
        <v>0</v>
      </c>
      <c r="H263" s="1">
        <f t="shared" si="10"/>
        <v>0</v>
      </c>
      <c r="I263" s="1">
        <f t="shared" si="11"/>
        <v>0</v>
      </c>
    </row>
    <row r="264" spans="1:9" ht="15" customHeight="1">
      <c r="A264" s="10" t="s">
        <v>269</v>
      </c>
      <c r="B264" s="12">
        <v>509760.8</v>
      </c>
      <c r="C264" s="11"/>
      <c r="E264" s="1">
        <f>+IFERROR(VLOOKUP(A264,'TB MAIN'!$A$4:$J$541,7,0),0)</f>
        <v>509760.8</v>
      </c>
      <c r="F264" s="1">
        <f>+IFERROR(VLOOKUP(A264,'TB MAIN'!$A$4:$J$541,10,0),0)</f>
        <v>0</v>
      </c>
      <c r="G264" s="1">
        <f t="shared" si="9"/>
        <v>0</v>
      </c>
      <c r="H264" s="1">
        <f t="shared" si="10"/>
        <v>0</v>
      </c>
      <c r="I264" s="1">
        <f t="shared" si="11"/>
        <v>0</v>
      </c>
    </row>
    <row r="265" spans="1:9" ht="15" customHeight="1">
      <c r="A265" s="10" t="s">
        <v>270</v>
      </c>
      <c r="B265" s="11"/>
      <c r="C265" s="12">
        <v>112979368.51000001</v>
      </c>
      <c r="E265" s="1">
        <f>+IFERROR(VLOOKUP(A265,'TB MAIN'!$A$4:$J$541,7,0),0)</f>
        <v>0</v>
      </c>
      <c r="F265" s="1">
        <f>+IFERROR(VLOOKUP(A265,'TB MAIN'!$A$4:$J$541,10,0),0)</f>
        <v>112979368.51000001</v>
      </c>
      <c r="G265" s="1">
        <f t="shared" si="9"/>
        <v>0</v>
      </c>
      <c r="H265" s="1">
        <f t="shared" si="10"/>
        <v>0</v>
      </c>
      <c r="I265" s="1">
        <f t="shared" si="11"/>
        <v>0</v>
      </c>
    </row>
    <row r="266" spans="1:9" ht="15" customHeight="1">
      <c r="A266" s="10" t="s">
        <v>271</v>
      </c>
      <c r="B266" s="11"/>
      <c r="C266" s="12">
        <v>18263</v>
      </c>
      <c r="E266" s="1">
        <f>+IFERROR(VLOOKUP(A266,'TB MAIN'!$A$4:$J$541,7,0),0)</f>
        <v>0</v>
      </c>
      <c r="F266" s="1">
        <f>+IFERROR(VLOOKUP(A266,'TB MAIN'!$A$4:$J$541,10,0),0)</f>
        <v>18263</v>
      </c>
      <c r="G266" s="1">
        <f t="shared" si="9"/>
        <v>0</v>
      </c>
      <c r="H266" s="1">
        <f t="shared" si="10"/>
        <v>0</v>
      </c>
      <c r="I266" s="1">
        <f t="shared" si="11"/>
        <v>0</v>
      </c>
    </row>
    <row r="267" spans="1:9" ht="15" customHeight="1">
      <c r="A267" s="10" t="s">
        <v>272</v>
      </c>
      <c r="B267" s="11"/>
      <c r="C267" s="12">
        <v>9443500</v>
      </c>
      <c r="E267" s="1">
        <f>+IFERROR(VLOOKUP(A267,'TB MAIN'!$A$4:$J$541,7,0),0)</f>
        <v>0</v>
      </c>
      <c r="F267" s="1">
        <f>+IFERROR(VLOOKUP(A267,'TB MAIN'!$A$4:$J$541,10,0),0)</f>
        <v>9443500</v>
      </c>
      <c r="G267" s="1">
        <f t="shared" si="9"/>
        <v>0</v>
      </c>
      <c r="H267" s="1">
        <f t="shared" si="10"/>
        <v>0</v>
      </c>
      <c r="I267" s="1">
        <f t="shared" si="11"/>
        <v>0</v>
      </c>
    </row>
    <row r="268" spans="1:9" ht="15" customHeight="1">
      <c r="A268" s="10" t="s">
        <v>1978</v>
      </c>
      <c r="B268" s="11"/>
      <c r="C268" s="12">
        <v>85050</v>
      </c>
      <c r="E268" s="1">
        <f>+IFERROR(VLOOKUP(A268,'TB MAIN'!$A$4:$J$541,7,0),0)</f>
        <v>0</v>
      </c>
      <c r="F268" s="1">
        <f>+IFERROR(VLOOKUP(A268,'TB MAIN'!$A$4:$J$541,10,0),0)</f>
        <v>84300</v>
      </c>
      <c r="G268" s="1">
        <f t="shared" si="9"/>
        <v>0</v>
      </c>
      <c r="H268" s="1">
        <f t="shared" si="10"/>
        <v>750</v>
      </c>
      <c r="I268" s="1">
        <f t="shared" si="11"/>
        <v>750</v>
      </c>
    </row>
    <row r="269" spans="1:9" ht="15" customHeight="1">
      <c r="A269" s="10" t="s">
        <v>273</v>
      </c>
      <c r="B269" s="12">
        <v>1171704</v>
      </c>
      <c r="C269" s="11"/>
      <c r="E269" s="1">
        <f>+IFERROR(VLOOKUP(A269,'TB MAIN'!$A$4:$J$541,7,0),0)</f>
        <v>1171704</v>
      </c>
      <c r="F269" s="1">
        <f>+IFERROR(VLOOKUP(A269,'TB MAIN'!$A$4:$J$541,10,0),0)</f>
        <v>0</v>
      </c>
      <c r="G269" s="1">
        <f t="shared" ref="G269:G332" si="12">+B269-E269</f>
        <v>0</v>
      </c>
      <c r="H269" s="1">
        <f t="shared" ref="H269:H332" si="13">+C269-F269</f>
        <v>0</v>
      </c>
      <c r="I269" s="1">
        <f t="shared" ref="I269:I332" si="14">+G269+H269</f>
        <v>0</v>
      </c>
    </row>
    <row r="270" spans="1:9" ht="15" customHeight="1">
      <c r="A270" s="10" t="s">
        <v>274</v>
      </c>
      <c r="B270" s="11"/>
      <c r="C270" s="12">
        <v>5136213</v>
      </c>
      <c r="E270" s="1">
        <f>+IFERROR(VLOOKUP(A270,'TB MAIN'!$A$4:$J$541,7,0),0)</f>
        <v>0</v>
      </c>
      <c r="F270" s="1">
        <f>+IFERROR(VLOOKUP(A270,'TB MAIN'!$A$4:$J$541,10,0),0)</f>
        <v>5136213</v>
      </c>
      <c r="G270" s="1">
        <f t="shared" si="12"/>
        <v>0</v>
      </c>
      <c r="H270" s="1">
        <f t="shared" si="13"/>
        <v>0</v>
      </c>
      <c r="I270" s="1">
        <f t="shared" si="14"/>
        <v>0</v>
      </c>
    </row>
    <row r="271" spans="1:9" ht="15" customHeight="1">
      <c r="A271" s="10" t="s">
        <v>275</v>
      </c>
      <c r="B271" s="11"/>
      <c r="C271" s="12">
        <v>3321516</v>
      </c>
      <c r="E271" s="1">
        <f>+IFERROR(VLOOKUP(A271,'TB MAIN'!$A$4:$J$541,7,0),0)</f>
        <v>0</v>
      </c>
      <c r="F271" s="1">
        <f>+IFERROR(VLOOKUP(A271,'TB MAIN'!$A$4:$J$541,10,0),0)</f>
        <v>3321516</v>
      </c>
      <c r="G271" s="1">
        <f t="shared" si="12"/>
        <v>0</v>
      </c>
      <c r="H271" s="1">
        <f t="shared" si="13"/>
        <v>0</v>
      </c>
      <c r="I271" s="1">
        <f t="shared" si="14"/>
        <v>0</v>
      </c>
    </row>
    <row r="272" spans="1:9" ht="15" customHeight="1">
      <c r="A272" s="10" t="s">
        <v>276</v>
      </c>
      <c r="B272" s="11"/>
      <c r="C272" s="12">
        <v>939164</v>
      </c>
      <c r="E272" s="1">
        <f>+IFERROR(VLOOKUP(A272,'TB MAIN'!$A$4:$J$541,7,0),0)</f>
        <v>0</v>
      </c>
      <c r="F272" s="1">
        <f>+IFERROR(VLOOKUP(A272,'TB MAIN'!$A$4:$J$541,10,0),0)</f>
        <v>939164</v>
      </c>
      <c r="G272" s="1">
        <f t="shared" si="12"/>
        <v>0</v>
      </c>
      <c r="H272" s="1">
        <f t="shared" si="13"/>
        <v>0</v>
      </c>
      <c r="I272" s="1">
        <f t="shared" si="14"/>
        <v>0</v>
      </c>
    </row>
    <row r="273" spans="1:9" ht="15" customHeight="1">
      <c r="A273" s="10" t="s">
        <v>277</v>
      </c>
      <c r="B273" s="11"/>
      <c r="C273" s="12">
        <v>16647093</v>
      </c>
      <c r="E273" s="1">
        <f>+IFERROR(VLOOKUP(A273,'TB MAIN'!$A$4:$J$541,7,0),0)</f>
        <v>0</v>
      </c>
      <c r="F273" s="1">
        <f>+IFERROR(VLOOKUP(A273,'TB MAIN'!$A$4:$J$541,10,0),0)</f>
        <v>16647093</v>
      </c>
      <c r="G273" s="1">
        <f t="shared" si="12"/>
        <v>0</v>
      </c>
      <c r="H273" s="1">
        <f t="shared" si="13"/>
        <v>0</v>
      </c>
      <c r="I273" s="1">
        <f t="shared" si="14"/>
        <v>0</v>
      </c>
    </row>
    <row r="274" spans="1:9" ht="15" customHeight="1">
      <c r="A274" s="10" t="s">
        <v>278</v>
      </c>
      <c r="B274" s="11"/>
      <c r="C274" s="12">
        <v>379192</v>
      </c>
      <c r="E274" s="1">
        <f>+IFERROR(VLOOKUP(A274,'TB MAIN'!$A$4:$J$541,7,0),0)</f>
        <v>0</v>
      </c>
      <c r="F274" s="1">
        <f>+IFERROR(VLOOKUP(A274,'TB MAIN'!$A$4:$J$541,10,0),0)</f>
        <v>379192</v>
      </c>
      <c r="G274" s="1">
        <f t="shared" si="12"/>
        <v>0</v>
      </c>
      <c r="H274" s="1">
        <f t="shared" si="13"/>
        <v>0</v>
      </c>
      <c r="I274" s="1">
        <f t="shared" si="14"/>
        <v>0</v>
      </c>
    </row>
    <row r="275" spans="1:9" ht="15" customHeight="1">
      <c r="A275" s="10" t="s">
        <v>279</v>
      </c>
      <c r="B275" s="11"/>
      <c r="C275" s="12">
        <v>1478167</v>
      </c>
      <c r="E275" s="1">
        <f>+IFERROR(VLOOKUP(A275,'TB MAIN'!$A$4:$J$541,7,0),0)</f>
        <v>0</v>
      </c>
      <c r="F275" s="1">
        <f>+IFERROR(VLOOKUP(A275,'TB MAIN'!$A$4:$J$541,10,0),0)</f>
        <v>1478167</v>
      </c>
      <c r="G275" s="1">
        <f t="shared" si="12"/>
        <v>0</v>
      </c>
      <c r="H275" s="1">
        <f t="shared" si="13"/>
        <v>0</v>
      </c>
      <c r="I275" s="1">
        <f t="shared" si="14"/>
        <v>0</v>
      </c>
    </row>
    <row r="276" spans="1:9" ht="15" customHeight="1">
      <c r="A276" s="10" t="s">
        <v>280</v>
      </c>
      <c r="B276" s="11"/>
      <c r="C276" s="12">
        <v>753819</v>
      </c>
      <c r="E276" s="1">
        <f>+IFERROR(VLOOKUP(A276,'TB MAIN'!$A$4:$J$541,7,0),0)</f>
        <v>0</v>
      </c>
      <c r="F276" s="1">
        <f>+IFERROR(VLOOKUP(A276,'TB MAIN'!$A$4:$J$541,10,0),0)</f>
        <v>753819</v>
      </c>
      <c r="G276" s="1">
        <f t="shared" si="12"/>
        <v>0</v>
      </c>
      <c r="H276" s="1">
        <f t="shared" si="13"/>
        <v>0</v>
      </c>
      <c r="I276" s="1">
        <f t="shared" si="14"/>
        <v>0</v>
      </c>
    </row>
    <row r="277" spans="1:9" ht="15" customHeight="1">
      <c r="A277" s="10" t="s">
        <v>281</v>
      </c>
      <c r="B277" s="11"/>
      <c r="C277" s="12">
        <v>92431427</v>
      </c>
      <c r="E277" s="1">
        <f>+IFERROR(VLOOKUP(A277,'TB MAIN'!$A$4:$J$541,7,0),0)</f>
        <v>0</v>
      </c>
      <c r="F277" s="1">
        <f>+IFERROR(VLOOKUP(A277,'TB MAIN'!$A$4:$J$541,10,0),0)</f>
        <v>92431427</v>
      </c>
      <c r="G277" s="1">
        <f t="shared" si="12"/>
        <v>0</v>
      </c>
      <c r="H277" s="1">
        <f t="shared" si="13"/>
        <v>0</v>
      </c>
      <c r="I277" s="1">
        <f t="shared" si="14"/>
        <v>0</v>
      </c>
    </row>
    <row r="278" spans="1:9" ht="15" customHeight="1">
      <c r="A278" s="10" t="s">
        <v>282</v>
      </c>
      <c r="B278" s="11"/>
      <c r="C278" s="12">
        <v>189571</v>
      </c>
      <c r="E278" s="1">
        <f>+IFERROR(VLOOKUP(A278,'TB MAIN'!$A$4:$J$541,7,0),0)</f>
        <v>0</v>
      </c>
      <c r="F278" s="1">
        <f>+IFERROR(VLOOKUP(A278,'TB MAIN'!$A$4:$J$541,10,0),0)</f>
        <v>189571</v>
      </c>
      <c r="G278" s="1">
        <f t="shared" si="12"/>
        <v>0</v>
      </c>
      <c r="H278" s="1">
        <f t="shared" si="13"/>
        <v>0</v>
      </c>
      <c r="I278" s="1">
        <f t="shared" si="14"/>
        <v>0</v>
      </c>
    </row>
    <row r="279" spans="1:9" ht="15" customHeight="1">
      <c r="A279" s="10" t="s">
        <v>284</v>
      </c>
      <c r="B279" s="12">
        <v>122153</v>
      </c>
      <c r="C279" s="11"/>
      <c r="E279" s="1">
        <f>+IFERROR(VLOOKUP(A279,'TB MAIN'!$A$4:$J$541,7,0),0)</f>
        <v>122153</v>
      </c>
      <c r="F279" s="1">
        <f>+IFERROR(VLOOKUP(A279,'TB MAIN'!$A$4:$J$541,10,0),0)</f>
        <v>0</v>
      </c>
      <c r="G279" s="1">
        <f t="shared" si="12"/>
        <v>0</v>
      </c>
      <c r="H279" s="1">
        <f t="shared" si="13"/>
        <v>0</v>
      </c>
      <c r="I279" s="1">
        <f t="shared" si="14"/>
        <v>0</v>
      </c>
    </row>
    <row r="280" spans="1:9" ht="15" customHeight="1">
      <c r="A280" s="10" t="s">
        <v>285</v>
      </c>
      <c r="B280" s="12">
        <v>271788</v>
      </c>
      <c r="C280" s="11"/>
      <c r="E280" s="1">
        <f>+IFERROR(VLOOKUP(A280,'TB MAIN'!$A$4:$J$541,7,0),0)</f>
        <v>271788</v>
      </c>
      <c r="F280" s="1">
        <f>+IFERROR(VLOOKUP(A280,'TB MAIN'!$A$4:$J$541,10,0),0)</f>
        <v>0</v>
      </c>
      <c r="G280" s="1">
        <f t="shared" si="12"/>
        <v>0</v>
      </c>
      <c r="H280" s="1">
        <f t="shared" si="13"/>
        <v>0</v>
      </c>
      <c r="I280" s="1">
        <f t="shared" si="14"/>
        <v>0</v>
      </c>
    </row>
    <row r="281" spans="1:9" ht="15" customHeight="1">
      <c r="A281" s="10" t="s">
        <v>286</v>
      </c>
      <c r="B281" s="12">
        <v>139678</v>
      </c>
      <c r="C281" s="11"/>
      <c r="E281" s="1">
        <f>+IFERROR(VLOOKUP(A281,'TB MAIN'!$A$4:$J$541,7,0),0)</f>
        <v>139678</v>
      </c>
      <c r="F281" s="1">
        <f>+IFERROR(VLOOKUP(A281,'TB MAIN'!$A$4:$J$541,10,0),0)</f>
        <v>0</v>
      </c>
      <c r="G281" s="1">
        <f t="shared" si="12"/>
        <v>0</v>
      </c>
      <c r="H281" s="1">
        <f t="shared" si="13"/>
        <v>0</v>
      </c>
      <c r="I281" s="1">
        <f t="shared" si="14"/>
        <v>0</v>
      </c>
    </row>
    <row r="282" spans="1:9" ht="15" customHeight="1">
      <c r="A282" s="10" t="s">
        <v>287</v>
      </c>
      <c r="B282" s="12">
        <v>34285</v>
      </c>
      <c r="C282" s="11"/>
      <c r="E282" s="1">
        <f>+IFERROR(VLOOKUP(A282,'TB MAIN'!$A$4:$J$541,7,0),0)</f>
        <v>34285</v>
      </c>
      <c r="F282" s="1">
        <f>+IFERROR(VLOOKUP(A282,'TB MAIN'!$A$4:$J$541,10,0),0)</f>
        <v>0</v>
      </c>
      <c r="G282" s="1">
        <f t="shared" si="12"/>
        <v>0</v>
      </c>
      <c r="H282" s="1">
        <f t="shared" si="13"/>
        <v>0</v>
      </c>
      <c r="I282" s="1">
        <f t="shared" si="14"/>
        <v>0</v>
      </c>
    </row>
    <row r="283" spans="1:9" ht="15" customHeight="1">
      <c r="A283" s="10" t="s">
        <v>1310</v>
      </c>
      <c r="B283" s="11"/>
      <c r="C283" s="12">
        <v>8724</v>
      </c>
      <c r="E283" s="1">
        <f>+IFERROR(VLOOKUP(A283,'TB MAIN'!$A$4:$J$541,7,0),0)</f>
        <v>0</v>
      </c>
      <c r="F283" s="1">
        <f>+IFERROR(VLOOKUP(A283,'TB MAIN'!$A$4:$J$541,10,0),0)</f>
        <v>8724</v>
      </c>
      <c r="G283" s="1">
        <f t="shared" si="12"/>
        <v>0</v>
      </c>
      <c r="H283" s="1">
        <f t="shared" si="13"/>
        <v>0</v>
      </c>
      <c r="I283" s="1">
        <f t="shared" si="14"/>
        <v>0</v>
      </c>
    </row>
    <row r="284" spans="1:9" ht="15" customHeight="1">
      <c r="A284" s="10" t="s">
        <v>288</v>
      </c>
      <c r="B284" s="11"/>
      <c r="C284" s="12">
        <v>3212027.7</v>
      </c>
      <c r="E284" s="1">
        <f>+IFERROR(VLOOKUP(A284,'TB MAIN'!$A$4:$J$541,7,0),0)</f>
        <v>0</v>
      </c>
      <c r="F284" s="1">
        <f>+IFERROR(VLOOKUP(A284,'TB MAIN'!$A$4:$J$541,10,0),0)</f>
        <v>3212027.7</v>
      </c>
      <c r="G284" s="1">
        <f t="shared" si="12"/>
        <v>0</v>
      </c>
      <c r="H284" s="1">
        <f t="shared" si="13"/>
        <v>0</v>
      </c>
      <c r="I284" s="1">
        <f t="shared" si="14"/>
        <v>0</v>
      </c>
    </row>
    <row r="285" spans="1:9" ht="15" customHeight="1">
      <c r="A285" s="10" t="s">
        <v>289</v>
      </c>
      <c r="B285" s="12">
        <v>12216191</v>
      </c>
      <c r="C285" s="11"/>
      <c r="E285" s="1">
        <f>+IFERROR(VLOOKUP(A285,'TB MAIN'!$A$4:$J$541,7,0),0)</f>
        <v>12216191</v>
      </c>
      <c r="F285" s="1">
        <f>+IFERROR(VLOOKUP(A285,'TB MAIN'!$A$4:$J$541,10,0),0)</f>
        <v>0</v>
      </c>
      <c r="G285" s="1">
        <f t="shared" si="12"/>
        <v>0</v>
      </c>
      <c r="H285" s="1">
        <f t="shared" si="13"/>
        <v>0</v>
      </c>
      <c r="I285" s="1">
        <f t="shared" si="14"/>
        <v>0</v>
      </c>
    </row>
    <row r="286" spans="1:9" ht="15" customHeight="1">
      <c r="A286" s="10" t="s">
        <v>290</v>
      </c>
      <c r="B286" s="11"/>
      <c r="C286" s="12">
        <v>26432</v>
      </c>
      <c r="E286" s="1">
        <f>+IFERROR(VLOOKUP(A286,'TB MAIN'!$A$4:$J$541,7,0),0)</f>
        <v>0</v>
      </c>
      <c r="F286" s="1">
        <f>+IFERROR(VLOOKUP(A286,'TB MAIN'!$A$4:$J$541,10,0),0)</f>
        <v>26432</v>
      </c>
      <c r="G286" s="1">
        <f t="shared" si="12"/>
        <v>0</v>
      </c>
      <c r="H286" s="1">
        <f t="shared" si="13"/>
        <v>0</v>
      </c>
      <c r="I286" s="1">
        <f t="shared" si="14"/>
        <v>0</v>
      </c>
    </row>
    <row r="287" spans="1:9" ht="15" customHeight="1">
      <c r="A287" s="10" t="s">
        <v>291</v>
      </c>
      <c r="B287" s="12">
        <v>610238</v>
      </c>
      <c r="C287" s="11"/>
      <c r="E287" s="1">
        <f>+IFERROR(VLOOKUP(A287,'TB MAIN'!$A$4:$J$541,7,0),0)</f>
        <v>610238</v>
      </c>
      <c r="F287" s="1">
        <f>+IFERROR(VLOOKUP(A287,'TB MAIN'!$A$4:$J$541,10,0),0)</f>
        <v>0</v>
      </c>
      <c r="G287" s="1">
        <f t="shared" si="12"/>
        <v>0</v>
      </c>
      <c r="H287" s="1">
        <f t="shared" si="13"/>
        <v>0</v>
      </c>
      <c r="I287" s="1">
        <f t="shared" si="14"/>
        <v>0</v>
      </c>
    </row>
    <row r="288" spans="1:9" ht="15" customHeight="1">
      <c r="A288" s="10" t="s">
        <v>292</v>
      </c>
      <c r="B288" s="12">
        <v>9875204.9800000004</v>
      </c>
      <c r="C288" s="11"/>
      <c r="E288" s="1">
        <f>+IFERROR(VLOOKUP(A288,'TB MAIN'!$A$4:$J$541,7,0),0)</f>
        <v>9875204.9800000004</v>
      </c>
      <c r="F288" s="1">
        <f>+IFERROR(VLOOKUP(A288,'TB MAIN'!$A$4:$J$541,10,0),0)</f>
        <v>0</v>
      </c>
      <c r="G288" s="1">
        <f t="shared" si="12"/>
        <v>0</v>
      </c>
      <c r="H288" s="1">
        <f t="shared" si="13"/>
        <v>0</v>
      </c>
      <c r="I288" s="1">
        <f t="shared" si="14"/>
        <v>0</v>
      </c>
    </row>
    <row r="289" spans="1:9" ht="15" customHeight="1">
      <c r="A289" s="10" t="s">
        <v>293</v>
      </c>
      <c r="B289" s="12">
        <v>570000</v>
      </c>
      <c r="C289" s="11"/>
      <c r="E289" s="1">
        <f>+IFERROR(VLOOKUP(A289,'TB MAIN'!$A$4:$J$541,7,0),0)</f>
        <v>570000</v>
      </c>
      <c r="F289" s="1">
        <f>+IFERROR(VLOOKUP(A289,'TB MAIN'!$A$4:$J$541,10,0),0)</f>
        <v>0</v>
      </c>
      <c r="G289" s="1">
        <f t="shared" si="12"/>
        <v>0</v>
      </c>
      <c r="H289" s="1">
        <f t="shared" si="13"/>
        <v>0</v>
      </c>
      <c r="I289" s="1">
        <f t="shared" si="14"/>
        <v>0</v>
      </c>
    </row>
    <row r="290" spans="1:9" ht="15" customHeight="1">
      <c r="A290" s="10" t="s">
        <v>294</v>
      </c>
      <c r="B290" s="12">
        <v>107000</v>
      </c>
      <c r="C290" s="11"/>
      <c r="E290" s="1">
        <f>+IFERROR(VLOOKUP(A290,'TB MAIN'!$A$4:$J$541,7,0),0)</f>
        <v>107000</v>
      </c>
      <c r="F290" s="1">
        <f>+IFERROR(VLOOKUP(A290,'TB MAIN'!$A$4:$J$541,10,0),0)</f>
        <v>0</v>
      </c>
      <c r="G290" s="1">
        <f t="shared" si="12"/>
        <v>0</v>
      </c>
      <c r="H290" s="1">
        <f t="shared" si="13"/>
        <v>0</v>
      </c>
      <c r="I290" s="1">
        <f t="shared" si="14"/>
        <v>0</v>
      </c>
    </row>
    <row r="291" spans="1:9" ht="15" customHeight="1">
      <c r="A291" s="10" t="s">
        <v>499</v>
      </c>
      <c r="B291" s="12">
        <v>741466</v>
      </c>
      <c r="C291" s="11"/>
      <c r="E291" s="1">
        <f>+IFERROR(VLOOKUP(A291,'TB MAIN'!$A$4:$J$541,7,0),0)</f>
        <v>741466</v>
      </c>
      <c r="F291" s="1">
        <f>+IFERROR(VLOOKUP(A291,'TB MAIN'!$A$4:$J$541,10,0),0)</f>
        <v>0</v>
      </c>
      <c r="G291" s="1">
        <f t="shared" si="12"/>
        <v>0</v>
      </c>
      <c r="H291" s="1">
        <f t="shared" si="13"/>
        <v>0</v>
      </c>
      <c r="I291" s="1">
        <f t="shared" si="14"/>
        <v>0</v>
      </c>
    </row>
    <row r="292" spans="1:9" ht="15" customHeight="1">
      <c r="A292" s="10" t="s">
        <v>295</v>
      </c>
      <c r="B292" s="12">
        <v>9155866.8599999994</v>
      </c>
      <c r="C292" s="11"/>
      <c r="E292" s="1">
        <f>+IFERROR(VLOOKUP(A292,'TB MAIN'!$A$4:$J$541,7,0),0)</f>
        <v>9155866.8599999994</v>
      </c>
      <c r="F292" s="1">
        <f>+IFERROR(VLOOKUP(A292,'TB MAIN'!$A$4:$J$541,10,0),0)</f>
        <v>0</v>
      </c>
      <c r="G292" s="1">
        <f t="shared" si="12"/>
        <v>0</v>
      </c>
      <c r="H292" s="1">
        <f t="shared" si="13"/>
        <v>0</v>
      </c>
      <c r="I292" s="1">
        <f t="shared" si="14"/>
        <v>0</v>
      </c>
    </row>
    <row r="293" spans="1:9" ht="15" customHeight="1">
      <c r="A293" s="10" t="s">
        <v>296</v>
      </c>
      <c r="B293" s="11"/>
      <c r="C293" s="12">
        <v>8142548</v>
      </c>
      <c r="E293" s="1">
        <f>+IFERROR(VLOOKUP(A293,'TB MAIN'!$A$4:$J$541,7,0),0)</f>
        <v>0</v>
      </c>
      <c r="F293" s="1">
        <f>+IFERROR(VLOOKUP(A293,'TB MAIN'!$A$4:$J$541,10,0),0)</f>
        <v>8142548</v>
      </c>
      <c r="G293" s="1">
        <f t="shared" si="12"/>
        <v>0</v>
      </c>
      <c r="H293" s="1">
        <f t="shared" si="13"/>
        <v>0</v>
      </c>
      <c r="I293" s="1">
        <f t="shared" si="14"/>
        <v>0</v>
      </c>
    </row>
    <row r="294" spans="1:9" ht="15" customHeight="1">
      <c r="A294" s="10" t="s">
        <v>297</v>
      </c>
      <c r="B294" s="11"/>
      <c r="C294" s="12">
        <v>1495</v>
      </c>
      <c r="E294" s="1">
        <f>+IFERROR(VLOOKUP(A294,'TB MAIN'!$A$4:$J$541,7,0),0)</f>
        <v>0</v>
      </c>
      <c r="F294" s="1">
        <f>+IFERROR(VLOOKUP(A294,'TB MAIN'!$A$4:$J$541,10,0),0)</f>
        <v>1495</v>
      </c>
      <c r="G294" s="1">
        <f t="shared" si="12"/>
        <v>0</v>
      </c>
      <c r="H294" s="1">
        <f t="shared" si="13"/>
        <v>0</v>
      </c>
      <c r="I294" s="1">
        <f t="shared" si="14"/>
        <v>0</v>
      </c>
    </row>
    <row r="295" spans="1:9" ht="15" customHeight="1">
      <c r="A295" s="10" t="s">
        <v>298</v>
      </c>
      <c r="B295" s="12">
        <v>553617</v>
      </c>
      <c r="C295" s="11"/>
      <c r="E295" s="1">
        <f>+IFERROR(VLOOKUP(A295,'TB MAIN'!$A$4:$J$541,7,0),0)</f>
        <v>553617</v>
      </c>
      <c r="F295" s="1">
        <f>+IFERROR(VLOOKUP(A295,'TB MAIN'!$A$4:$J$541,10,0),0)</f>
        <v>0</v>
      </c>
      <c r="G295" s="1">
        <f t="shared" si="12"/>
        <v>0</v>
      </c>
      <c r="H295" s="1">
        <f t="shared" si="13"/>
        <v>0</v>
      </c>
      <c r="I295" s="1">
        <f t="shared" si="14"/>
        <v>0</v>
      </c>
    </row>
    <row r="296" spans="1:9" ht="15" customHeight="1">
      <c r="A296" s="10" t="s">
        <v>299</v>
      </c>
      <c r="B296" s="12">
        <v>154260</v>
      </c>
      <c r="C296" s="11"/>
      <c r="E296" s="1">
        <f>+IFERROR(VLOOKUP(A296,'TB MAIN'!$A$4:$J$541,7,0),0)</f>
        <v>154260</v>
      </c>
      <c r="F296" s="1">
        <f>+IFERROR(VLOOKUP(A296,'TB MAIN'!$A$4:$J$541,10,0),0)</f>
        <v>0</v>
      </c>
      <c r="G296" s="1">
        <f t="shared" si="12"/>
        <v>0</v>
      </c>
      <c r="H296" s="1">
        <f t="shared" si="13"/>
        <v>0</v>
      </c>
      <c r="I296" s="1">
        <f t="shared" si="14"/>
        <v>0</v>
      </c>
    </row>
    <row r="297" spans="1:9" ht="15" customHeight="1">
      <c r="A297" s="10" t="s">
        <v>300</v>
      </c>
      <c r="B297" s="12">
        <v>2000</v>
      </c>
      <c r="C297" s="11"/>
      <c r="E297" s="1">
        <f>+IFERROR(VLOOKUP(A297,'TB MAIN'!$A$4:$J$541,7,0),0)</f>
        <v>2000</v>
      </c>
      <c r="F297" s="1">
        <f>+IFERROR(VLOOKUP(A297,'TB MAIN'!$A$4:$J$541,10,0),0)</f>
        <v>0</v>
      </c>
      <c r="G297" s="1">
        <f t="shared" si="12"/>
        <v>0</v>
      </c>
      <c r="H297" s="1">
        <f t="shared" si="13"/>
        <v>0</v>
      </c>
      <c r="I297" s="1">
        <f t="shared" si="14"/>
        <v>0</v>
      </c>
    </row>
    <row r="298" spans="1:9" ht="15" customHeight="1">
      <c r="A298" s="10" t="s">
        <v>301</v>
      </c>
      <c r="B298" s="12">
        <v>4167429</v>
      </c>
      <c r="C298" s="11"/>
      <c r="E298" s="1">
        <f>+IFERROR(VLOOKUP(A298,'TB MAIN'!$A$4:$J$541,7,0),0)</f>
        <v>4167429</v>
      </c>
      <c r="F298" s="1">
        <f>+IFERROR(VLOOKUP(A298,'TB MAIN'!$A$4:$J$541,10,0),0)</f>
        <v>0</v>
      </c>
      <c r="G298" s="1">
        <f t="shared" si="12"/>
        <v>0</v>
      </c>
      <c r="H298" s="1">
        <f t="shared" si="13"/>
        <v>0</v>
      </c>
      <c r="I298" s="1">
        <f t="shared" si="14"/>
        <v>0</v>
      </c>
    </row>
    <row r="299" spans="1:9" ht="15" customHeight="1">
      <c r="A299" s="10" t="s">
        <v>302</v>
      </c>
      <c r="B299" s="12">
        <v>2558371</v>
      </c>
      <c r="C299" s="11"/>
      <c r="E299" s="1">
        <f>+IFERROR(VLOOKUP(A299,'TB MAIN'!$A$4:$J$541,7,0),0)</f>
        <v>2558371</v>
      </c>
      <c r="F299" s="1">
        <f>+IFERROR(VLOOKUP(A299,'TB MAIN'!$A$4:$J$541,10,0),0)</f>
        <v>0</v>
      </c>
      <c r="G299" s="1">
        <f t="shared" si="12"/>
        <v>0</v>
      </c>
      <c r="H299" s="1">
        <f t="shared" si="13"/>
        <v>0</v>
      </c>
      <c r="I299" s="1">
        <f t="shared" si="14"/>
        <v>0</v>
      </c>
    </row>
    <row r="300" spans="1:9" ht="15" customHeight="1">
      <c r="A300" s="10" t="s">
        <v>303</v>
      </c>
      <c r="B300" s="11"/>
      <c r="C300" s="12">
        <v>100502.93</v>
      </c>
      <c r="E300" s="1">
        <f>+IFERROR(VLOOKUP(A300,'TB MAIN'!$A$4:$J$541,7,0),0)</f>
        <v>0</v>
      </c>
      <c r="F300" s="1">
        <f>+IFERROR(VLOOKUP(A300,'TB MAIN'!$A$4:$J$541,10,0),0)</f>
        <v>100502.93</v>
      </c>
      <c r="G300" s="1">
        <f t="shared" si="12"/>
        <v>0</v>
      </c>
      <c r="H300" s="1">
        <f t="shared" si="13"/>
        <v>0</v>
      </c>
      <c r="I300" s="1">
        <f t="shared" si="14"/>
        <v>0</v>
      </c>
    </row>
    <row r="301" spans="1:9" ht="15" customHeight="1">
      <c r="A301" s="10" t="s">
        <v>304</v>
      </c>
      <c r="B301" s="12">
        <v>486323.88</v>
      </c>
      <c r="C301" s="11"/>
      <c r="E301" s="1">
        <f>+IFERROR(VLOOKUP(A301,'TB MAIN'!$A$4:$J$541,7,0),0)</f>
        <v>486323.88</v>
      </c>
      <c r="F301" s="1">
        <f>+IFERROR(VLOOKUP(A301,'TB MAIN'!$A$4:$J$541,10,0),0)</f>
        <v>0</v>
      </c>
      <c r="G301" s="1">
        <f t="shared" si="12"/>
        <v>0</v>
      </c>
      <c r="H301" s="1">
        <f t="shared" si="13"/>
        <v>0</v>
      </c>
      <c r="I301" s="1">
        <f t="shared" si="14"/>
        <v>0</v>
      </c>
    </row>
    <row r="302" spans="1:9" ht="15" customHeight="1">
      <c r="A302" s="10" t="s">
        <v>306</v>
      </c>
      <c r="B302" s="11"/>
      <c r="C302" s="12">
        <v>80872.929999999993</v>
      </c>
      <c r="E302" s="1">
        <f>+IFERROR(VLOOKUP(A302,'TB MAIN'!$A$4:$J$541,7,0),0)</f>
        <v>0</v>
      </c>
      <c r="F302" s="1">
        <f>+IFERROR(VLOOKUP(A302,'TB MAIN'!$A$4:$J$541,10,0),0)</f>
        <v>80872.929999999993</v>
      </c>
      <c r="G302" s="1">
        <f t="shared" si="12"/>
        <v>0</v>
      </c>
      <c r="H302" s="1">
        <f t="shared" si="13"/>
        <v>0</v>
      </c>
      <c r="I302" s="1">
        <f t="shared" si="14"/>
        <v>0</v>
      </c>
    </row>
    <row r="303" spans="1:9" ht="15" customHeight="1">
      <c r="A303" s="10" t="s">
        <v>307</v>
      </c>
      <c r="B303" s="11"/>
      <c r="C303" s="12">
        <v>51508</v>
      </c>
      <c r="E303" s="1">
        <f>+IFERROR(VLOOKUP(A303,'TB MAIN'!$A$4:$J$541,7,0),0)</f>
        <v>0</v>
      </c>
      <c r="F303" s="1">
        <f>+IFERROR(VLOOKUP(A303,'TB MAIN'!$A$4:$J$541,10,0),0)</f>
        <v>51508</v>
      </c>
      <c r="G303" s="1">
        <f t="shared" si="12"/>
        <v>0</v>
      </c>
      <c r="H303" s="1">
        <f t="shared" si="13"/>
        <v>0</v>
      </c>
      <c r="I303" s="1">
        <f t="shared" si="14"/>
        <v>0</v>
      </c>
    </row>
    <row r="304" spans="1:9" ht="15" customHeight="1">
      <c r="A304" s="10" t="s">
        <v>308</v>
      </c>
      <c r="B304" s="12">
        <v>4800000</v>
      </c>
      <c r="C304" s="11"/>
      <c r="E304" s="1">
        <f>+IFERROR(VLOOKUP(A304,'TB MAIN'!$A$4:$J$541,7,0),0)</f>
        <v>4800000</v>
      </c>
      <c r="F304" s="1">
        <f>+IFERROR(VLOOKUP(A304,'TB MAIN'!$A$4:$J$541,10,0),0)</f>
        <v>0</v>
      </c>
      <c r="G304" s="1">
        <f t="shared" si="12"/>
        <v>0</v>
      </c>
      <c r="H304" s="1">
        <f t="shared" si="13"/>
        <v>0</v>
      </c>
      <c r="I304" s="1">
        <f t="shared" si="14"/>
        <v>0</v>
      </c>
    </row>
    <row r="305" spans="1:9" ht="15" customHeight="1">
      <c r="A305" s="10" t="s">
        <v>309</v>
      </c>
      <c r="B305" s="12">
        <v>319093</v>
      </c>
      <c r="C305" s="11"/>
      <c r="E305" s="1">
        <f>+IFERROR(VLOOKUP(A305,'TB MAIN'!$A$4:$J$541,7,0),0)</f>
        <v>319093</v>
      </c>
      <c r="F305" s="1">
        <f>+IFERROR(VLOOKUP(A305,'TB MAIN'!$A$4:$J$541,10,0),0)</f>
        <v>0</v>
      </c>
      <c r="G305" s="1">
        <f t="shared" si="12"/>
        <v>0</v>
      </c>
      <c r="H305" s="1">
        <f t="shared" si="13"/>
        <v>0</v>
      </c>
      <c r="I305" s="1">
        <f t="shared" si="14"/>
        <v>0</v>
      </c>
    </row>
    <row r="306" spans="1:9" ht="15" customHeight="1">
      <c r="A306" s="10" t="s">
        <v>310</v>
      </c>
      <c r="B306" s="12">
        <v>409071.26</v>
      </c>
      <c r="C306" s="11"/>
      <c r="E306" s="1">
        <f>+IFERROR(VLOOKUP(A306,'TB MAIN'!$A$4:$J$541,7,0),0)</f>
        <v>409071.26</v>
      </c>
      <c r="F306" s="1">
        <f>+IFERROR(VLOOKUP(A306,'TB MAIN'!$A$4:$J$541,10,0),0)</f>
        <v>0</v>
      </c>
      <c r="G306" s="1">
        <f t="shared" si="12"/>
        <v>0</v>
      </c>
      <c r="H306" s="1">
        <f t="shared" si="13"/>
        <v>0</v>
      </c>
      <c r="I306" s="1">
        <f t="shared" si="14"/>
        <v>0</v>
      </c>
    </row>
    <row r="307" spans="1:9" ht="15" customHeight="1">
      <c r="A307" s="10" t="s">
        <v>311</v>
      </c>
      <c r="B307" s="12">
        <v>954273.6</v>
      </c>
      <c r="C307" s="11"/>
      <c r="E307" s="1">
        <f>+IFERROR(VLOOKUP(A307,'TB MAIN'!$A$4:$J$541,7,0),0)</f>
        <v>954273.6</v>
      </c>
      <c r="F307" s="1">
        <f>+IFERROR(VLOOKUP(A307,'TB MAIN'!$A$4:$J$541,10,0),0)</f>
        <v>0</v>
      </c>
      <c r="G307" s="1">
        <f t="shared" si="12"/>
        <v>0</v>
      </c>
      <c r="H307" s="1">
        <f t="shared" si="13"/>
        <v>0</v>
      </c>
      <c r="I307" s="1">
        <f t="shared" si="14"/>
        <v>0</v>
      </c>
    </row>
    <row r="308" spans="1:9" ht="15" customHeight="1">
      <c r="A308" s="10" t="s">
        <v>312</v>
      </c>
      <c r="B308" s="11"/>
      <c r="C308" s="12">
        <v>50905004</v>
      </c>
      <c r="E308" s="1">
        <f>+IFERROR(VLOOKUP(A308,'TB MAIN'!$A$4:$J$541,7,0),0)</f>
        <v>0</v>
      </c>
      <c r="F308" s="1">
        <f>+IFERROR(VLOOKUP(A308,'TB MAIN'!$A$4:$J$541,10,0),0)</f>
        <v>50905004</v>
      </c>
      <c r="G308" s="1">
        <f t="shared" si="12"/>
        <v>0</v>
      </c>
      <c r="H308" s="1">
        <f t="shared" si="13"/>
        <v>0</v>
      </c>
      <c r="I308" s="1">
        <f t="shared" si="14"/>
        <v>0</v>
      </c>
    </row>
    <row r="309" spans="1:9" ht="15" customHeight="1">
      <c r="A309" s="10" t="s">
        <v>313</v>
      </c>
      <c r="B309" s="12">
        <v>24500</v>
      </c>
      <c r="C309" s="11"/>
      <c r="E309" s="1">
        <f>+IFERROR(VLOOKUP(A309,'TB MAIN'!$A$4:$J$541,7,0),0)</f>
        <v>24500</v>
      </c>
      <c r="F309" s="1">
        <f>+IFERROR(VLOOKUP(A309,'TB MAIN'!$A$4:$J$541,10,0),0)</f>
        <v>0</v>
      </c>
      <c r="G309" s="1">
        <f t="shared" si="12"/>
        <v>0</v>
      </c>
      <c r="H309" s="1">
        <f t="shared" si="13"/>
        <v>0</v>
      </c>
      <c r="I309" s="1">
        <f t="shared" si="14"/>
        <v>0</v>
      </c>
    </row>
    <row r="310" spans="1:9" ht="15" customHeight="1">
      <c r="A310" s="10" t="s">
        <v>314</v>
      </c>
      <c r="B310" s="11"/>
      <c r="C310" s="12">
        <v>1127420</v>
      </c>
      <c r="E310" s="1">
        <f>+IFERROR(VLOOKUP(A310,'TB MAIN'!$A$4:$J$541,7,0),0)</f>
        <v>0</v>
      </c>
      <c r="F310" s="1">
        <f>+IFERROR(VLOOKUP(A310,'TB MAIN'!$A$4:$J$541,10,0),0)</f>
        <v>1127420</v>
      </c>
      <c r="G310" s="1">
        <f t="shared" si="12"/>
        <v>0</v>
      </c>
      <c r="H310" s="1">
        <f t="shared" si="13"/>
        <v>0</v>
      </c>
      <c r="I310" s="1">
        <f t="shared" si="14"/>
        <v>0</v>
      </c>
    </row>
    <row r="311" spans="1:9" ht="15" customHeight="1">
      <c r="A311" s="10" t="s">
        <v>315</v>
      </c>
      <c r="B311" s="11"/>
      <c r="C311" s="12">
        <v>487.23</v>
      </c>
      <c r="E311" s="1">
        <f>+IFERROR(VLOOKUP(A311,'TB MAIN'!$A$4:$J$541,7,0),0)</f>
        <v>0</v>
      </c>
      <c r="F311" s="1">
        <f>+IFERROR(VLOOKUP(A311,'TB MAIN'!$A$4:$J$541,10,0),0)</f>
        <v>487.23</v>
      </c>
      <c r="G311" s="1">
        <f t="shared" si="12"/>
        <v>0</v>
      </c>
      <c r="H311" s="1">
        <f t="shared" si="13"/>
        <v>0</v>
      </c>
      <c r="I311" s="1">
        <f t="shared" si="14"/>
        <v>0</v>
      </c>
    </row>
    <row r="312" spans="1:9" ht="15" customHeight="1">
      <c r="A312" s="10" t="s">
        <v>316</v>
      </c>
      <c r="B312" s="12">
        <v>22988933</v>
      </c>
      <c r="C312" s="11"/>
      <c r="E312" s="1">
        <f>+IFERROR(VLOOKUP(A312,'TB MAIN'!$A$4:$J$541,7,0),0)</f>
        <v>22988933</v>
      </c>
      <c r="F312" s="1">
        <f>+IFERROR(VLOOKUP(A312,'TB MAIN'!$A$4:$J$541,10,0),0)</f>
        <v>0</v>
      </c>
      <c r="G312" s="1">
        <f t="shared" si="12"/>
        <v>0</v>
      </c>
      <c r="H312" s="1">
        <f t="shared" si="13"/>
        <v>0</v>
      </c>
      <c r="I312" s="1">
        <f t="shared" si="14"/>
        <v>0</v>
      </c>
    </row>
    <row r="313" spans="1:9" ht="15" customHeight="1">
      <c r="A313" s="10" t="s">
        <v>317</v>
      </c>
      <c r="B313" s="12">
        <v>5079</v>
      </c>
      <c r="C313" s="11"/>
      <c r="E313" s="1">
        <f>+IFERROR(VLOOKUP(A313,'TB MAIN'!$A$4:$J$541,7,0),0)</f>
        <v>5079</v>
      </c>
      <c r="F313" s="1">
        <f>+IFERROR(VLOOKUP(A313,'TB MAIN'!$A$4:$J$541,10,0),0)</f>
        <v>0</v>
      </c>
      <c r="G313" s="1">
        <f t="shared" si="12"/>
        <v>0</v>
      </c>
      <c r="H313" s="1">
        <f t="shared" si="13"/>
        <v>0</v>
      </c>
      <c r="I313" s="1">
        <f t="shared" si="14"/>
        <v>0</v>
      </c>
    </row>
    <row r="314" spans="1:9" ht="15" customHeight="1">
      <c r="A314" s="10" t="s">
        <v>318</v>
      </c>
      <c r="B314" s="12">
        <v>392445</v>
      </c>
      <c r="C314" s="11"/>
      <c r="E314" s="1">
        <f>+IFERROR(VLOOKUP(A314,'TB MAIN'!$A$4:$J$541,7,0),0)</f>
        <v>392445</v>
      </c>
      <c r="F314" s="1">
        <f>+IFERROR(VLOOKUP(A314,'TB MAIN'!$A$4:$J$541,10,0),0)</f>
        <v>0</v>
      </c>
      <c r="G314" s="1">
        <f t="shared" si="12"/>
        <v>0</v>
      </c>
      <c r="H314" s="1">
        <f t="shared" si="13"/>
        <v>0</v>
      </c>
      <c r="I314" s="1">
        <f t="shared" si="14"/>
        <v>0</v>
      </c>
    </row>
    <row r="315" spans="1:9" ht="15" customHeight="1">
      <c r="A315" s="10" t="s">
        <v>319</v>
      </c>
      <c r="B315" s="11"/>
      <c r="C315" s="12">
        <v>879467</v>
      </c>
      <c r="E315" s="1">
        <f>+IFERROR(VLOOKUP(A315,'TB MAIN'!$A$4:$J$541,7,0),0)</f>
        <v>0</v>
      </c>
      <c r="F315" s="1">
        <f>+IFERROR(VLOOKUP(A315,'TB MAIN'!$A$4:$J$541,10,0),0)</f>
        <v>879467</v>
      </c>
      <c r="G315" s="1">
        <f t="shared" si="12"/>
        <v>0</v>
      </c>
      <c r="H315" s="1">
        <f t="shared" si="13"/>
        <v>0</v>
      </c>
      <c r="I315" s="1">
        <f t="shared" si="14"/>
        <v>0</v>
      </c>
    </row>
    <row r="316" spans="1:9" ht="15" customHeight="1">
      <c r="A316" s="10" t="s">
        <v>320</v>
      </c>
      <c r="B316" s="11"/>
      <c r="C316" s="12">
        <v>803704</v>
      </c>
      <c r="E316" s="1">
        <f>+IFERROR(VLOOKUP(A316,'TB MAIN'!$A$4:$J$541,7,0),0)</f>
        <v>0</v>
      </c>
      <c r="F316" s="1">
        <f>+IFERROR(VLOOKUP(A316,'TB MAIN'!$A$4:$J$541,10,0),0)</f>
        <v>803704</v>
      </c>
      <c r="G316" s="1">
        <f t="shared" si="12"/>
        <v>0</v>
      </c>
      <c r="H316" s="1">
        <f t="shared" si="13"/>
        <v>0</v>
      </c>
      <c r="I316" s="1">
        <f t="shared" si="14"/>
        <v>0</v>
      </c>
    </row>
    <row r="317" spans="1:9" ht="15" customHeight="1">
      <c r="A317" s="10" t="s">
        <v>321</v>
      </c>
      <c r="B317" s="12">
        <v>203540</v>
      </c>
      <c r="C317" s="11"/>
      <c r="E317" s="1">
        <f>+IFERROR(VLOOKUP(A317,'TB MAIN'!$A$4:$J$541,7,0),0)</f>
        <v>203540</v>
      </c>
      <c r="F317" s="1">
        <f>+IFERROR(VLOOKUP(A317,'TB MAIN'!$A$4:$J$541,10,0),0)</f>
        <v>0</v>
      </c>
      <c r="G317" s="1">
        <f t="shared" si="12"/>
        <v>0</v>
      </c>
      <c r="H317" s="1">
        <f t="shared" si="13"/>
        <v>0</v>
      </c>
      <c r="I317" s="1">
        <f t="shared" si="14"/>
        <v>0</v>
      </c>
    </row>
    <row r="318" spans="1:9" ht="15" customHeight="1">
      <c r="A318" s="10" t="s">
        <v>322</v>
      </c>
      <c r="B318" s="12">
        <v>1626242</v>
      </c>
      <c r="C318" s="11"/>
      <c r="E318" s="1">
        <f>+IFERROR(VLOOKUP(A318,'TB MAIN'!$A$4:$J$541,7,0),0)</f>
        <v>1626242</v>
      </c>
      <c r="F318" s="1">
        <f>+IFERROR(VLOOKUP(A318,'TB MAIN'!$A$4:$J$541,10,0),0)</f>
        <v>0</v>
      </c>
      <c r="G318" s="1">
        <f t="shared" si="12"/>
        <v>0</v>
      </c>
      <c r="H318" s="1">
        <f t="shared" si="13"/>
        <v>0</v>
      </c>
      <c r="I318" s="1">
        <f t="shared" si="14"/>
        <v>0</v>
      </c>
    </row>
    <row r="319" spans="1:9" ht="15" customHeight="1">
      <c r="A319" s="10" t="s">
        <v>323</v>
      </c>
      <c r="B319" s="12">
        <v>2273038</v>
      </c>
      <c r="C319" s="11"/>
      <c r="E319" s="1">
        <f>+IFERROR(VLOOKUP(A319,'TB MAIN'!$A$4:$J$541,7,0),0)</f>
        <v>2273038</v>
      </c>
      <c r="F319" s="1">
        <f>+IFERROR(VLOOKUP(A319,'TB MAIN'!$A$4:$J$541,10,0),0)</f>
        <v>0</v>
      </c>
      <c r="G319" s="1">
        <f t="shared" si="12"/>
        <v>0</v>
      </c>
      <c r="H319" s="1">
        <f t="shared" si="13"/>
        <v>0</v>
      </c>
      <c r="I319" s="1">
        <f t="shared" si="14"/>
        <v>0</v>
      </c>
    </row>
    <row r="320" spans="1:9" ht="15" customHeight="1">
      <c r="A320" s="10" t="s">
        <v>324</v>
      </c>
      <c r="B320" s="12">
        <v>8511335</v>
      </c>
      <c r="C320" s="11"/>
      <c r="E320" s="1">
        <f>+IFERROR(VLOOKUP(A320,'TB MAIN'!$A$4:$J$541,7,0),0)</f>
        <v>8511335</v>
      </c>
      <c r="F320" s="1">
        <f>+IFERROR(VLOOKUP(A320,'TB MAIN'!$A$4:$J$541,10,0),0)</f>
        <v>0</v>
      </c>
      <c r="G320" s="1">
        <f t="shared" si="12"/>
        <v>0</v>
      </c>
      <c r="H320" s="1">
        <f t="shared" si="13"/>
        <v>0</v>
      </c>
      <c r="I320" s="1">
        <f t="shared" si="14"/>
        <v>0</v>
      </c>
    </row>
    <row r="321" spans="1:9" ht="15" customHeight="1">
      <c r="A321" s="10" t="s">
        <v>325</v>
      </c>
      <c r="B321" s="11"/>
      <c r="C321" s="12">
        <v>609002318.29999995</v>
      </c>
      <c r="E321" s="1">
        <f>+IFERROR(VLOOKUP(A321,'TB MAIN'!$A$4:$J$541,7,0),0)</f>
        <v>0</v>
      </c>
      <c r="F321" s="1">
        <f>+IFERROR(VLOOKUP(A321,'TB MAIN'!$A$4:$J$541,10,0),0)</f>
        <v>609002318.29999995</v>
      </c>
      <c r="G321" s="1">
        <f t="shared" si="12"/>
        <v>0</v>
      </c>
      <c r="H321" s="1">
        <f t="shared" si="13"/>
        <v>0</v>
      </c>
      <c r="I321" s="1">
        <f t="shared" si="14"/>
        <v>0</v>
      </c>
    </row>
    <row r="322" spans="1:9" ht="15" customHeight="1">
      <c r="A322" s="10" t="s">
        <v>326</v>
      </c>
      <c r="B322" s="11"/>
      <c r="C322" s="12">
        <v>77113878.299999997</v>
      </c>
      <c r="E322" s="1">
        <f>+IFERROR(VLOOKUP(A322,'TB MAIN'!$A$4:$J$541,7,0),0)</f>
        <v>0</v>
      </c>
      <c r="F322" s="1">
        <f>+IFERROR(VLOOKUP(A322,'TB MAIN'!$A$4:$J$541,10,0),0)</f>
        <v>77113878.299999997</v>
      </c>
      <c r="G322" s="1">
        <f t="shared" si="12"/>
        <v>0</v>
      </c>
      <c r="H322" s="1">
        <f t="shared" si="13"/>
        <v>0</v>
      </c>
      <c r="I322" s="1">
        <f t="shared" si="14"/>
        <v>0</v>
      </c>
    </row>
    <row r="323" spans="1:9" ht="15" customHeight="1">
      <c r="A323" s="10" t="s">
        <v>327</v>
      </c>
      <c r="B323" s="12">
        <v>245586</v>
      </c>
      <c r="C323" s="11"/>
      <c r="E323" s="1">
        <f>+IFERROR(VLOOKUP(A323,'TB MAIN'!$A$4:$J$541,7,0),0)</f>
        <v>245586</v>
      </c>
      <c r="F323" s="1">
        <f>+IFERROR(VLOOKUP(A323,'TB MAIN'!$A$4:$J$541,10,0),0)</f>
        <v>0</v>
      </c>
      <c r="G323" s="1">
        <f t="shared" si="12"/>
        <v>0</v>
      </c>
      <c r="H323" s="1">
        <f t="shared" si="13"/>
        <v>0</v>
      </c>
      <c r="I323" s="1">
        <f t="shared" si="14"/>
        <v>0</v>
      </c>
    </row>
    <row r="324" spans="1:9" ht="15" customHeight="1">
      <c r="A324" s="10" t="s">
        <v>328</v>
      </c>
      <c r="B324" s="12">
        <v>23653</v>
      </c>
      <c r="C324" s="11"/>
      <c r="E324" s="1">
        <f>+IFERROR(VLOOKUP(A324,'TB MAIN'!$A$4:$J$541,7,0),0)</f>
        <v>23653</v>
      </c>
      <c r="F324" s="1">
        <f>+IFERROR(VLOOKUP(A324,'TB MAIN'!$A$4:$J$541,10,0),0)</f>
        <v>0</v>
      </c>
      <c r="G324" s="1">
        <f t="shared" si="12"/>
        <v>0</v>
      </c>
      <c r="H324" s="1">
        <f t="shared" si="13"/>
        <v>0</v>
      </c>
      <c r="I324" s="1">
        <f t="shared" si="14"/>
        <v>0</v>
      </c>
    </row>
    <row r="325" spans="1:9" ht="15" customHeight="1">
      <c r="A325" s="10" t="s">
        <v>329</v>
      </c>
      <c r="B325" s="11"/>
      <c r="C325" s="12">
        <v>755246</v>
      </c>
      <c r="E325" s="1">
        <f>+IFERROR(VLOOKUP(A325,'TB MAIN'!$A$4:$J$541,7,0),0)</f>
        <v>0</v>
      </c>
      <c r="F325" s="1">
        <f>+IFERROR(VLOOKUP(A325,'TB MAIN'!$A$4:$J$541,10,0),0)</f>
        <v>755246</v>
      </c>
      <c r="G325" s="1">
        <f t="shared" si="12"/>
        <v>0</v>
      </c>
      <c r="H325" s="1">
        <f t="shared" si="13"/>
        <v>0</v>
      </c>
      <c r="I325" s="1">
        <f t="shared" si="14"/>
        <v>0</v>
      </c>
    </row>
    <row r="326" spans="1:9" ht="15" customHeight="1">
      <c r="A326" s="10" t="s">
        <v>330</v>
      </c>
      <c r="B326" s="11"/>
      <c r="C326" s="12">
        <v>874676</v>
      </c>
      <c r="E326" s="1">
        <f>+IFERROR(VLOOKUP(A326,'TB MAIN'!$A$4:$J$541,7,0),0)</f>
        <v>0</v>
      </c>
      <c r="F326" s="1">
        <f>+IFERROR(VLOOKUP(A326,'TB MAIN'!$A$4:$J$541,10,0),0)</f>
        <v>874676</v>
      </c>
      <c r="G326" s="1">
        <f t="shared" si="12"/>
        <v>0</v>
      </c>
      <c r="H326" s="1">
        <f t="shared" si="13"/>
        <v>0</v>
      </c>
      <c r="I326" s="1">
        <f t="shared" si="14"/>
        <v>0</v>
      </c>
    </row>
    <row r="327" spans="1:9" ht="15" customHeight="1">
      <c r="A327" s="10" t="s">
        <v>331</v>
      </c>
      <c r="B327" s="11"/>
      <c r="C327" s="12">
        <v>2600</v>
      </c>
      <c r="E327" s="1">
        <f>+IFERROR(VLOOKUP(A327,'TB MAIN'!$A$4:$J$541,7,0),0)</f>
        <v>0</v>
      </c>
      <c r="F327" s="1">
        <f>+IFERROR(VLOOKUP(A327,'TB MAIN'!$A$4:$J$541,10,0),0)</f>
        <v>2600</v>
      </c>
      <c r="G327" s="1">
        <f t="shared" si="12"/>
        <v>0</v>
      </c>
      <c r="H327" s="1">
        <f t="shared" si="13"/>
        <v>0</v>
      </c>
      <c r="I327" s="1">
        <f t="shared" si="14"/>
        <v>0</v>
      </c>
    </row>
    <row r="328" spans="1:9" ht="15" customHeight="1">
      <c r="A328" s="10" t="s">
        <v>332</v>
      </c>
      <c r="B328" s="11"/>
      <c r="C328" s="12">
        <v>85602</v>
      </c>
      <c r="E328" s="1">
        <f>+IFERROR(VLOOKUP(A328,'TB MAIN'!$A$4:$J$541,7,0),0)</f>
        <v>0</v>
      </c>
      <c r="F328" s="1">
        <f>+IFERROR(VLOOKUP(A328,'TB MAIN'!$A$4:$J$541,10,0),0)</f>
        <v>85602</v>
      </c>
      <c r="G328" s="1">
        <f t="shared" si="12"/>
        <v>0</v>
      </c>
      <c r="H328" s="1">
        <f t="shared" si="13"/>
        <v>0</v>
      </c>
      <c r="I328" s="1">
        <f t="shared" si="14"/>
        <v>0</v>
      </c>
    </row>
    <row r="329" spans="1:9" ht="15" customHeight="1">
      <c r="A329" s="10" t="s">
        <v>333</v>
      </c>
      <c r="B329" s="11"/>
      <c r="C329" s="12">
        <v>1640020</v>
      </c>
      <c r="E329" s="1">
        <f>+IFERROR(VLOOKUP(A329,'TB MAIN'!$A$4:$J$541,7,0),0)</f>
        <v>0</v>
      </c>
      <c r="F329" s="1">
        <f>+IFERROR(VLOOKUP(A329,'TB MAIN'!$A$4:$J$541,10,0),0)</f>
        <v>1640020</v>
      </c>
      <c r="G329" s="1">
        <f t="shared" si="12"/>
        <v>0</v>
      </c>
      <c r="H329" s="1">
        <f t="shared" si="13"/>
        <v>0</v>
      </c>
      <c r="I329" s="1">
        <f t="shared" si="14"/>
        <v>0</v>
      </c>
    </row>
    <row r="330" spans="1:9" ht="15" customHeight="1">
      <c r="A330" s="10" t="s">
        <v>706</v>
      </c>
      <c r="B330" s="12">
        <v>84224</v>
      </c>
      <c r="C330" s="11"/>
      <c r="E330" s="1">
        <f>+IFERROR(VLOOKUP(A330,'TB MAIN'!$A$4:$J$541,7,0),0)</f>
        <v>83453.5</v>
      </c>
      <c r="F330" s="1">
        <f>+IFERROR(VLOOKUP(A330,'TB MAIN'!$A$4:$J$541,10,0),0)</f>
        <v>0</v>
      </c>
      <c r="G330" s="1">
        <f t="shared" si="12"/>
        <v>770.5</v>
      </c>
      <c r="H330" s="1">
        <f t="shared" si="13"/>
        <v>0</v>
      </c>
      <c r="I330" s="1">
        <f t="shared" si="14"/>
        <v>770.5</v>
      </c>
    </row>
    <row r="331" spans="1:9" ht="15" customHeight="1">
      <c r="A331" s="10" t="s">
        <v>334</v>
      </c>
      <c r="B331" s="12">
        <v>49097</v>
      </c>
      <c r="C331" s="11"/>
      <c r="E331" s="1">
        <f>+IFERROR(VLOOKUP(A331,'TB MAIN'!$A$4:$J$541,7,0),0)</f>
        <v>49097</v>
      </c>
      <c r="F331" s="1">
        <f>+IFERROR(VLOOKUP(A331,'TB MAIN'!$A$4:$J$541,10,0),0)</f>
        <v>0</v>
      </c>
      <c r="G331" s="1">
        <f t="shared" si="12"/>
        <v>0</v>
      </c>
      <c r="H331" s="1">
        <f t="shared" si="13"/>
        <v>0</v>
      </c>
      <c r="I331" s="1">
        <f t="shared" si="14"/>
        <v>0</v>
      </c>
    </row>
    <row r="332" spans="1:9" ht="15" customHeight="1">
      <c r="A332" s="10" t="s">
        <v>335</v>
      </c>
      <c r="B332" s="11"/>
      <c r="C332" s="12">
        <v>7150762</v>
      </c>
      <c r="E332" s="1">
        <f>+IFERROR(VLOOKUP(A332,'TB MAIN'!$A$4:$J$541,7,0),0)</f>
        <v>0</v>
      </c>
      <c r="F332" s="1">
        <f>+IFERROR(VLOOKUP(A332,'TB MAIN'!$A$4:$J$541,10,0),0)</f>
        <v>7150762</v>
      </c>
      <c r="G332" s="1">
        <f t="shared" si="12"/>
        <v>0</v>
      </c>
      <c r="H332" s="1">
        <f t="shared" si="13"/>
        <v>0</v>
      </c>
      <c r="I332" s="1">
        <f t="shared" si="14"/>
        <v>0</v>
      </c>
    </row>
    <row r="333" spans="1:9" ht="15" customHeight="1">
      <c r="A333" s="10" t="s">
        <v>336</v>
      </c>
      <c r="B333" s="11"/>
      <c r="C333" s="12">
        <v>695244</v>
      </c>
      <c r="E333" s="1">
        <f>+IFERROR(VLOOKUP(A333,'TB MAIN'!$A$4:$J$541,7,0),0)</f>
        <v>0</v>
      </c>
      <c r="F333" s="1">
        <f>+IFERROR(VLOOKUP(A333,'TB MAIN'!$A$4:$J$541,10,0),0)</f>
        <v>695244</v>
      </c>
      <c r="G333" s="1">
        <f t="shared" ref="G333:G396" si="15">+B333-E333</f>
        <v>0</v>
      </c>
      <c r="H333" s="1">
        <f t="shared" ref="H333:H396" si="16">+C333-F333</f>
        <v>0</v>
      </c>
      <c r="I333" s="1">
        <f t="shared" ref="I333:I396" si="17">+G333+H333</f>
        <v>0</v>
      </c>
    </row>
    <row r="334" spans="1:9" ht="15" customHeight="1">
      <c r="A334" s="10" t="s">
        <v>337</v>
      </c>
      <c r="B334" s="11"/>
      <c r="C334" s="12">
        <v>5601686</v>
      </c>
      <c r="E334" s="1">
        <f>+IFERROR(VLOOKUP(A334,'TB MAIN'!$A$4:$J$541,7,0),0)</f>
        <v>0</v>
      </c>
      <c r="F334" s="1">
        <f>+IFERROR(VLOOKUP(A334,'TB MAIN'!$A$4:$J$541,10,0),0)</f>
        <v>5601686</v>
      </c>
      <c r="G334" s="1">
        <f t="shared" si="15"/>
        <v>0</v>
      </c>
      <c r="H334" s="1">
        <f t="shared" si="16"/>
        <v>0</v>
      </c>
      <c r="I334" s="1">
        <f t="shared" si="17"/>
        <v>0</v>
      </c>
    </row>
    <row r="335" spans="1:9" ht="15" customHeight="1">
      <c r="A335" s="10" t="s">
        <v>338</v>
      </c>
      <c r="B335" s="11"/>
      <c r="C335" s="12">
        <v>253317</v>
      </c>
      <c r="E335" s="1">
        <f>+IFERROR(VLOOKUP(A335,'TB MAIN'!$A$4:$J$541,7,0),0)</f>
        <v>0</v>
      </c>
      <c r="F335" s="1">
        <f>+IFERROR(VLOOKUP(A335,'TB MAIN'!$A$4:$J$541,10,0),0)</f>
        <v>253317</v>
      </c>
      <c r="G335" s="1">
        <f t="shared" si="15"/>
        <v>0</v>
      </c>
      <c r="H335" s="1">
        <f t="shared" si="16"/>
        <v>0</v>
      </c>
      <c r="I335" s="1">
        <f t="shared" si="17"/>
        <v>0</v>
      </c>
    </row>
    <row r="336" spans="1:9" ht="15" customHeight="1">
      <c r="A336" s="10" t="s">
        <v>339</v>
      </c>
      <c r="B336" s="11"/>
      <c r="C336" s="12">
        <v>8664946</v>
      </c>
      <c r="E336" s="1">
        <f>+IFERROR(VLOOKUP(A336,'TB MAIN'!$A$4:$J$541,7,0),0)</f>
        <v>0</v>
      </c>
      <c r="F336" s="1">
        <f>+IFERROR(VLOOKUP(A336,'TB MAIN'!$A$4:$J$541,10,0),0)</f>
        <v>8664946</v>
      </c>
      <c r="G336" s="1">
        <f t="shared" si="15"/>
        <v>0</v>
      </c>
      <c r="H336" s="1">
        <f t="shared" si="16"/>
        <v>0</v>
      </c>
      <c r="I336" s="1">
        <f t="shared" si="17"/>
        <v>0</v>
      </c>
    </row>
    <row r="337" spans="1:9" ht="15" customHeight="1">
      <c r="A337" s="10" t="s">
        <v>340</v>
      </c>
      <c r="B337" s="12">
        <v>689707</v>
      </c>
      <c r="C337" s="11"/>
      <c r="E337" s="1">
        <f>+IFERROR(VLOOKUP(A337,'TB MAIN'!$A$4:$J$541,7,0),0)</f>
        <v>689707</v>
      </c>
      <c r="F337" s="1">
        <f>+IFERROR(VLOOKUP(A337,'TB MAIN'!$A$4:$J$541,10,0),0)</f>
        <v>0</v>
      </c>
      <c r="G337" s="1">
        <f t="shared" si="15"/>
        <v>0</v>
      </c>
      <c r="H337" s="1">
        <f t="shared" si="16"/>
        <v>0</v>
      </c>
      <c r="I337" s="1">
        <f t="shared" si="17"/>
        <v>0</v>
      </c>
    </row>
    <row r="338" spans="1:9" ht="15" customHeight="1">
      <c r="A338" s="10" t="s">
        <v>341</v>
      </c>
      <c r="B338" s="11"/>
      <c r="C338" s="12">
        <v>21264856</v>
      </c>
      <c r="E338" s="1">
        <f>+IFERROR(VLOOKUP(A338,'TB MAIN'!$A$4:$J$541,7,0),0)</f>
        <v>0</v>
      </c>
      <c r="F338" s="1">
        <f>+IFERROR(VLOOKUP(A338,'TB MAIN'!$A$4:$J$541,10,0),0)</f>
        <v>21264856</v>
      </c>
      <c r="G338" s="1">
        <f t="shared" si="15"/>
        <v>0</v>
      </c>
      <c r="H338" s="1">
        <f t="shared" si="16"/>
        <v>0</v>
      </c>
      <c r="I338" s="1">
        <f t="shared" si="17"/>
        <v>0</v>
      </c>
    </row>
    <row r="339" spans="1:9" ht="15" customHeight="1">
      <c r="A339" s="10" t="s">
        <v>343</v>
      </c>
      <c r="B339" s="11"/>
      <c r="C339" s="12">
        <v>449757.14</v>
      </c>
      <c r="E339" s="1">
        <f>+IFERROR(VLOOKUP(A339,'TB MAIN'!$A$4:$J$541,7,0),0)</f>
        <v>0</v>
      </c>
      <c r="F339" s="1">
        <f>+IFERROR(VLOOKUP(A339,'TB MAIN'!$A$4:$J$541,10,0),0)</f>
        <v>449757.14</v>
      </c>
      <c r="G339" s="1">
        <f t="shared" si="15"/>
        <v>0</v>
      </c>
      <c r="H339" s="1">
        <f t="shared" si="16"/>
        <v>0</v>
      </c>
      <c r="I339" s="1">
        <f t="shared" si="17"/>
        <v>0</v>
      </c>
    </row>
    <row r="340" spans="1:9" ht="15" customHeight="1">
      <c r="A340" s="10" t="s">
        <v>344</v>
      </c>
      <c r="B340" s="12">
        <v>1153357</v>
      </c>
      <c r="C340" s="11"/>
      <c r="E340" s="1">
        <f>+IFERROR(VLOOKUP(A340,'TB MAIN'!$A$4:$J$541,7,0),0)</f>
        <v>1153357</v>
      </c>
      <c r="F340" s="1">
        <f>+IFERROR(VLOOKUP(A340,'TB MAIN'!$A$4:$J$541,10,0),0)</f>
        <v>0</v>
      </c>
      <c r="G340" s="1">
        <f t="shared" si="15"/>
        <v>0</v>
      </c>
      <c r="H340" s="1">
        <f t="shared" si="16"/>
        <v>0</v>
      </c>
      <c r="I340" s="1">
        <f t="shared" si="17"/>
        <v>0</v>
      </c>
    </row>
    <row r="341" spans="1:9" ht="15" customHeight="1">
      <c r="A341" s="10" t="s">
        <v>346</v>
      </c>
      <c r="B341" s="12">
        <v>5552</v>
      </c>
      <c r="C341" s="11"/>
      <c r="E341" s="1">
        <f>+IFERROR(VLOOKUP(A341,'TB MAIN'!$A$4:$J$541,7,0),0)</f>
        <v>5552</v>
      </c>
      <c r="F341" s="1">
        <f>+IFERROR(VLOOKUP(A341,'TB MAIN'!$A$4:$J$541,10,0),0)</f>
        <v>0</v>
      </c>
      <c r="G341" s="1">
        <f t="shared" si="15"/>
        <v>0</v>
      </c>
      <c r="H341" s="1">
        <f t="shared" si="16"/>
        <v>0</v>
      </c>
      <c r="I341" s="1">
        <f t="shared" si="17"/>
        <v>0</v>
      </c>
    </row>
    <row r="342" spans="1:9">
      <c r="A342" s="10" t="s">
        <v>347</v>
      </c>
      <c r="B342" s="11"/>
      <c r="C342" s="12">
        <v>137081</v>
      </c>
      <c r="E342" s="1">
        <f>+IFERROR(VLOOKUP(A342,'TB MAIN'!$A$4:$J$541,7,0),0)</f>
        <v>0</v>
      </c>
      <c r="F342" s="1">
        <f>+IFERROR(VLOOKUP(A342,'TB MAIN'!$A$4:$J$541,10,0),0)</f>
        <v>137081</v>
      </c>
      <c r="G342" s="1">
        <f t="shared" si="15"/>
        <v>0</v>
      </c>
      <c r="H342" s="1">
        <f t="shared" si="16"/>
        <v>0</v>
      </c>
      <c r="I342" s="1">
        <f t="shared" si="17"/>
        <v>0</v>
      </c>
    </row>
    <row r="343" spans="1:9" ht="15" customHeight="1">
      <c r="A343" s="10" t="s">
        <v>348</v>
      </c>
      <c r="B343" s="11"/>
      <c r="C343" s="12">
        <v>77175</v>
      </c>
      <c r="E343" s="1">
        <f>+IFERROR(VLOOKUP(A343,'TB MAIN'!$A$4:$J$541,7,0),0)</f>
        <v>0</v>
      </c>
      <c r="F343" s="1">
        <f>+IFERROR(VLOOKUP(A343,'TB MAIN'!$A$4:$J$541,10,0),0)</f>
        <v>77175</v>
      </c>
      <c r="G343" s="1">
        <f t="shared" si="15"/>
        <v>0</v>
      </c>
      <c r="H343" s="1">
        <f t="shared" si="16"/>
        <v>0</v>
      </c>
      <c r="I343" s="1">
        <f t="shared" si="17"/>
        <v>0</v>
      </c>
    </row>
    <row r="344" spans="1:9" ht="15" customHeight="1">
      <c r="A344" s="10" t="s">
        <v>349</v>
      </c>
      <c r="B344" s="12">
        <v>140595</v>
      </c>
      <c r="C344" s="11"/>
      <c r="E344" s="1">
        <f>+IFERROR(VLOOKUP(A344,'TB MAIN'!$A$4:$J$541,7,0),0)</f>
        <v>140595</v>
      </c>
      <c r="F344" s="1">
        <f>+IFERROR(VLOOKUP(A344,'TB MAIN'!$A$4:$J$541,10,0),0)</f>
        <v>0</v>
      </c>
      <c r="G344" s="1">
        <f t="shared" si="15"/>
        <v>0</v>
      </c>
      <c r="H344" s="1">
        <f t="shared" si="16"/>
        <v>0</v>
      </c>
      <c r="I344" s="1">
        <f t="shared" si="17"/>
        <v>0</v>
      </c>
    </row>
    <row r="345" spans="1:9" ht="15" customHeight="1">
      <c r="A345" s="10" t="s">
        <v>350</v>
      </c>
      <c r="B345" s="12">
        <v>2982040</v>
      </c>
      <c r="C345" s="11"/>
      <c r="E345" s="1">
        <f>+IFERROR(VLOOKUP(A345,'TB MAIN'!$A$4:$J$541,7,0),0)</f>
        <v>2982040</v>
      </c>
      <c r="F345" s="1">
        <f>+IFERROR(VLOOKUP(A345,'TB MAIN'!$A$4:$J$541,10,0),0)</f>
        <v>0</v>
      </c>
      <c r="G345" s="1">
        <f t="shared" si="15"/>
        <v>0</v>
      </c>
      <c r="H345" s="1">
        <f t="shared" si="16"/>
        <v>0</v>
      </c>
      <c r="I345" s="1">
        <f t="shared" si="17"/>
        <v>0</v>
      </c>
    </row>
    <row r="346" spans="1:9" ht="15" customHeight="1">
      <c r="A346" s="10" t="s">
        <v>351</v>
      </c>
      <c r="B346" s="12">
        <v>108452</v>
      </c>
      <c r="C346" s="11"/>
      <c r="E346" s="1">
        <f>+IFERROR(VLOOKUP(A346,'TB MAIN'!$A$4:$J$541,7,0),0)</f>
        <v>108452</v>
      </c>
      <c r="F346" s="1">
        <f>+IFERROR(VLOOKUP(A346,'TB MAIN'!$A$4:$J$541,10,0),0)</f>
        <v>0</v>
      </c>
      <c r="G346" s="1">
        <f t="shared" si="15"/>
        <v>0</v>
      </c>
      <c r="H346" s="1">
        <f t="shared" si="16"/>
        <v>0</v>
      </c>
      <c r="I346" s="1">
        <f t="shared" si="17"/>
        <v>0</v>
      </c>
    </row>
    <row r="347" spans="1:9" ht="15" customHeight="1">
      <c r="A347" s="10" t="s">
        <v>352</v>
      </c>
      <c r="B347" s="11"/>
      <c r="C347" s="12">
        <v>9167</v>
      </c>
      <c r="E347" s="1">
        <f>+IFERROR(VLOOKUP(A347,'TB MAIN'!$A$4:$J$541,7,0),0)</f>
        <v>0</v>
      </c>
      <c r="F347" s="1">
        <f>+IFERROR(VLOOKUP(A347,'TB MAIN'!$A$4:$J$541,10,0),0)</f>
        <v>9167</v>
      </c>
      <c r="G347" s="1">
        <f t="shared" si="15"/>
        <v>0</v>
      </c>
      <c r="H347" s="1">
        <f t="shared" si="16"/>
        <v>0</v>
      </c>
      <c r="I347" s="1">
        <f t="shared" si="17"/>
        <v>0</v>
      </c>
    </row>
    <row r="348" spans="1:9" ht="15" customHeight="1">
      <c r="A348" s="10" t="s">
        <v>353</v>
      </c>
      <c r="B348" s="11"/>
      <c r="C348" s="12">
        <v>3584869</v>
      </c>
      <c r="E348" s="1">
        <f>+IFERROR(VLOOKUP(A348,'TB MAIN'!$A$4:$J$541,7,0),0)</f>
        <v>0</v>
      </c>
      <c r="F348" s="1">
        <f>+IFERROR(VLOOKUP(A348,'TB MAIN'!$A$4:$J$541,10,0),0)</f>
        <v>3584869</v>
      </c>
      <c r="G348" s="1">
        <f t="shared" si="15"/>
        <v>0</v>
      </c>
      <c r="H348" s="1">
        <f t="shared" si="16"/>
        <v>0</v>
      </c>
      <c r="I348" s="1">
        <f t="shared" si="17"/>
        <v>0</v>
      </c>
    </row>
    <row r="349" spans="1:9" ht="15" customHeight="1">
      <c r="A349" s="10" t="s">
        <v>354</v>
      </c>
      <c r="B349" s="11"/>
      <c r="C349" s="12">
        <v>145449</v>
      </c>
      <c r="E349" s="1">
        <f>+IFERROR(VLOOKUP(A349,'TB MAIN'!$A$4:$J$541,7,0),0)</f>
        <v>0</v>
      </c>
      <c r="F349" s="1">
        <f>+IFERROR(VLOOKUP(A349,'TB MAIN'!$A$4:$J$541,10,0),0)</f>
        <v>145449</v>
      </c>
      <c r="G349" s="1">
        <f t="shared" si="15"/>
        <v>0</v>
      </c>
      <c r="H349" s="1">
        <f t="shared" si="16"/>
        <v>0</v>
      </c>
      <c r="I349" s="1">
        <f t="shared" si="17"/>
        <v>0</v>
      </c>
    </row>
    <row r="350" spans="1:9" ht="15" customHeight="1">
      <c r="A350" s="10" t="s">
        <v>355</v>
      </c>
      <c r="B350" s="12">
        <v>374511.51</v>
      </c>
      <c r="C350" s="11"/>
      <c r="E350" s="1">
        <f>+IFERROR(VLOOKUP(A350,'TB MAIN'!$A$4:$J$541,7,0),0)</f>
        <v>374511.51</v>
      </c>
      <c r="F350" s="1">
        <f>+IFERROR(VLOOKUP(A350,'TB MAIN'!$A$4:$J$541,10,0),0)</f>
        <v>0</v>
      </c>
      <c r="G350" s="1">
        <f t="shared" si="15"/>
        <v>0</v>
      </c>
      <c r="H350" s="1">
        <f t="shared" si="16"/>
        <v>0</v>
      </c>
      <c r="I350" s="1">
        <f t="shared" si="17"/>
        <v>0</v>
      </c>
    </row>
    <row r="351" spans="1:9" ht="15" customHeight="1">
      <c r="A351" s="10" t="s">
        <v>356</v>
      </c>
      <c r="B351" s="12">
        <v>100400</v>
      </c>
      <c r="C351" s="11"/>
      <c r="E351" s="1">
        <f>+IFERROR(VLOOKUP(A351,'TB MAIN'!$A$4:$J$541,7,0),0)</f>
        <v>100400</v>
      </c>
      <c r="F351" s="1">
        <f>+IFERROR(VLOOKUP(A351,'TB MAIN'!$A$4:$J$541,10,0),0)</f>
        <v>0</v>
      </c>
      <c r="G351" s="1">
        <f t="shared" si="15"/>
        <v>0</v>
      </c>
      <c r="H351" s="1">
        <f t="shared" si="16"/>
        <v>0</v>
      </c>
      <c r="I351" s="1">
        <f t="shared" si="17"/>
        <v>0</v>
      </c>
    </row>
    <row r="352" spans="1:9" ht="15" customHeight="1">
      <c r="A352" s="10" t="s">
        <v>357</v>
      </c>
      <c r="B352" s="11"/>
      <c r="C352" s="12">
        <v>1749357</v>
      </c>
      <c r="E352" s="1">
        <f>+IFERROR(VLOOKUP(A352,'TB MAIN'!$A$4:$J$541,7,0),0)</f>
        <v>0</v>
      </c>
      <c r="F352" s="1">
        <f>+IFERROR(VLOOKUP(A352,'TB MAIN'!$A$4:$J$541,10,0),0)</f>
        <v>1749357</v>
      </c>
      <c r="G352" s="1">
        <f t="shared" si="15"/>
        <v>0</v>
      </c>
      <c r="H352" s="1">
        <f t="shared" si="16"/>
        <v>0</v>
      </c>
      <c r="I352" s="1">
        <f t="shared" si="17"/>
        <v>0</v>
      </c>
    </row>
    <row r="353" spans="1:9" ht="15" customHeight="1">
      <c r="A353" s="10" t="s">
        <v>358</v>
      </c>
      <c r="B353" s="11"/>
      <c r="C353" s="12">
        <v>16225</v>
      </c>
      <c r="E353" s="1">
        <f>+IFERROR(VLOOKUP(A353,'TB MAIN'!$A$4:$J$541,7,0),0)</f>
        <v>0</v>
      </c>
      <c r="F353" s="1">
        <f>+IFERROR(VLOOKUP(A353,'TB MAIN'!$A$4:$J$541,10,0),0)</f>
        <v>16225</v>
      </c>
      <c r="G353" s="1">
        <f t="shared" si="15"/>
        <v>0</v>
      </c>
      <c r="H353" s="1">
        <f t="shared" si="16"/>
        <v>0</v>
      </c>
      <c r="I353" s="1">
        <f t="shared" si="17"/>
        <v>0</v>
      </c>
    </row>
    <row r="354" spans="1:9" ht="15" customHeight="1">
      <c r="A354" s="10" t="s">
        <v>1794</v>
      </c>
      <c r="B354" s="11"/>
      <c r="C354" s="12">
        <v>16500</v>
      </c>
      <c r="E354" s="1">
        <f>+IFERROR(VLOOKUP(A354,'TB MAIN'!$A$4:$J$541,7,0),0)</f>
        <v>0</v>
      </c>
      <c r="F354" s="1">
        <f>+IFERROR(VLOOKUP(A354,'TB MAIN'!$A$4:$J$541,10,0),0)</f>
        <v>16500</v>
      </c>
      <c r="G354" s="1">
        <f t="shared" si="15"/>
        <v>0</v>
      </c>
      <c r="H354" s="1">
        <f t="shared" si="16"/>
        <v>0</v>
      </c>
      <c r="I354" s="1">
        <f t="shared" si="17"/>
        <v>0</v>
      </c>
    </row>
    <row r="355" spans="1:9" ht="15" customHeight="1">
      <c r="A355" s="10" t="s">
        <v>359</v>
      </c>
      <c r="B355" s="11"/>
      <c r="C355" s="12">
        <v>10225</v>
      </c>
      <c r="E355" s="1">
        <f>+IFERROR(VLOOKUP(A355,'TB MAIN'!$A$4:$J$541,7,0),0)</f>
        <v>0</v>
      </c>
      <c r="F355" s="1">
        <f>+IFERROR(VLOOKUP(A355,'TB MAIN'!$A$4:$J$541,10,0),0)</f>
        <v>10225</v>
      </c>
      <c r="G355" s="1">
        <f t="shared" si="15"/>
        <v>0</v>
      </c>
      <c r="H355" s="1">
        <f t="shared" si="16"/>
        <v>0</v>
      </c>
      <c r="I355" s="1">
        <f t="shared" si="17"/>
        <v>0</v>
      </c>
    </row>
    <row r="356" spans="1:9" ht="15" customHeight="1">
      <c r="A356" s="10" t="s">
        <v>360</v>
      </c>
      <c r="B356" s="11"/>
      <c r="C356" s="12">
        <v>61843530.590000004</v>
      </c>
      <c r="E356" s="1">
        <f>+IFERROR(VLOOKUP(A356,'TB MAIN'!$A$4:$J$541,7,0),0)</f>
        <v>0</v>
      </c>
      <c r="F356" s="1">
        <f>+IFERROR(VLOOKUP(A356,'TB MAIN'!$A$4:$J$541,10,0),0)</f>
        <v>61843530.590000004</v>
      </c>
      <c r="G356" s="1">
        <f t="shared" si="15"/>
        <v>0</v>
      </c>
      <c r="H356" s="1">
        <f t="shared" si="16"/>
        <v>0</v>
      </c>
      <c r="I356" s="1">
        <f t="shared" si="17"/>
        <v>0</v>
      </c>
    </row>
    <row r="357" spans="1:9" ht="15" customHeight="1">
      <c r="A357" s="10" t="s">
        <v>361</v>
      </c>
      <c r="B357" s="12">
        <v>5558970</v>
      </c>
      <c r="C357" s="11"/>
      <c r="E357" s="1">
        <f>+IFERROR(VLOOKUP(A357,'TB MAIN'!$A$4:$J$541,7,0),0)</f>
        <v>5558970</v>
      </c>
      <c r="F357" s="1">
        <f>+IFERROR(VLOOKUP(A357,'TB MAIN'!$A$4:$J$541,10,0),0)</f>
        <v>0</v>
      </c>
      <c r="G357" s="1">
        <f t="shared" si="15"/>
        <v>0</v>
      </c>
      <c r="H357" s="1">
        <f t="shared" si="16"/>
        <v>0</v>
      </c>
      <c r="I357" s="1">
        <f t="shared" si="17"/>
        <v>0</v>
      </c>
    </row>
    <row r="358" spans="1:9" ht="15" customHeight="1">
      <c r="A358" s="10" t="s">
        <v>362</v>
      </c>
      <c r="B358" s="12">
        <v>237277.27</v>
      </c>
      <c r="C358" s="11"/>
      <c r="E358" s="1">
        <f>+IFERROR(VLOOKUP(A358,'TB MAIN'!$A$4:$J$541,7,0),0)</f>
        <v>237277.27</v>
      </c>
      <c r="F358" s="1">
        <f>+IFERROR(VLOOKUP(A358,'TB MAIN'!$A$4:$J$541,10,0),0)</f>
        <v>0</v>
      </c>
      <c r="G358" s="1">
        <f t="shared" si="15"/>
        <v>0</v>
      </c>
      <c r="H358" s="1">
        <f t="shared" si="16"/>
        <v>0</v>
      </c>
      <c r="I358" s="1">
        <f t="shared" si="17"/>
        <v>0</v>
      </c>
    </row>
    <row r="359" spans="1:9" ht="15" customHeight="1">
      <c r="A359" s="10" t="s">
        <v>363</v>
      </c>
      <c r="B359" s="12">
        <v>275000</v>
      </c>
      <c r="C359" s="11"/>
      <c r="E359" s="1">
        <f>+IFERROR(VLOOKUP(A359,'TB MAIN'!$A$4:$J$541,7,0),0)</f>
        <v>275000</v>
      </c>
      <c r="F359" s="1">
        <f>+IFERROR(VLOOKUP(A359,'TB MAIN'!$A$4:$J$541,10,0),0)</f>
        <v>0</v>
      </c>
      <c r="G359" s="1">
        <f t="shared" si="15"/>
        <v>0</v>
      </c>
      <c r="H359" s="1">
        <f t="shared" si="16"/>
        <v>0</v>
      </c>
      <c r="I359" s="1">
        <f t="shared" si="17"/>
        <v>0</v>
      </c>
    </row>
    <row r="360" spans="1:9" ht="15" customHeight="1">
      <c r="A360" s="10" t="s">
        <v>1969</v>
      </c>
      <c r="B360" s="11"/>
      <c r="C360" s="12">
        <v>142942</v>
      </c>
      <c r="E360" s="1">
        <f>+IFERROR(VLOOKUP(A360,'TB MAIN'!$A$4:$J$541,7,0),0)</f>
        <v>0</v>
      </c>
      <c r="F360" s="1">
        <f>+IFERROR(VLOOKUP(A360,'TB MAIN'!$A$4:$J$541,10,0),0)</f>
        <v>142942</v>
      </c>
      <c r="G360" s="1">
        <f t="shared" si="15"/>
        <v>0</v>
      </c>
      <c r="H360" s="1">
        <f t="shared" si="16"/>
        <v>0</v>
      </c>
      <c r="I360" s="1">
        <f t="shared" si="17"/>
        <v>0</v>
      </c>
    </row>
    <row r="361" spans="1:9" ht="15" customHeight="1">
      <c r="A361" s="10" t="s">
        <v>364</v>
      </c>
      <c r="B361" s="12">
        <v>73000</v>
      </c>
      <c r="C361" s="11"/>
      <c r="E361" s="1">
        <f>+IFERROR(VLOOKUP(A361,'TB MAIN'!$A$4:$J$541,7,0),0)</f>
        <v>73000</v>
      </c>
      <c r="F361" s="1">
        <f>+IFERROR(VLOOKUP(A361,'TB MAIN'!$A$4:$J$541,10,0),0)</f>
        <v>0</v>
      </c>
      <c r="G361" s="1">
        <f t="shared" si="15"/>
        <v>0</v>
      </c>
      <c r="H361" s="1">
        <f t="shared" si="16"/>
        <v>0</v>
      </c>
      <c r="I361" s="1">
        <f t="shared" si="17"/>
        <v>0</v>
      </c>
    </row>
    <row r="362" spans="1:9" ht="15" customHeight="1">
      <c r="A362" s="10" t="s">
        <v>365</v>
      </c>
      <c r="B362" s="11"/>
      <c r="C362" s="12">
        <v>64723</v>
      </c>
      <c r="E362" s="1">
        <f>+IFERROR(VLOOKUP(A362,'TB MAIN'!$A$4:$J$541,7,0),0)</f>
        <v>0</v>
      </c>
      <c r="F362" s="1">
        <f>+IFERROR(VLOOKUP(A362,'TB MAIN'!$A$4:$J$541,10,0),0)</f>
        <v>64723</v>
      </c>
      <c r="G362" s="1">
        <f t="shared" si="15"/>
        <v>0</v>
      </c>
      <c r="H362" s="1">
        <f t="shared" si="16"/>
        <v>0</v>
      </c>
      <c r="I362" s="1">
        <f t="shared" si="17"/>
        <v>0</v>
      </c>
    </row>
    <row r="363" spans="1:9" ht="15" customHeight="1">
      <c r="A363" s="10" t="s">
        <v>366</v>
      </c>
      <c r="B363" s="11"/>
      <c r="C363" s="12">
        <v>32212</v>
      </c>
      <c r="E363" s="1">
        <f>+IFERROR(VLOOKUP(A363,'TB MAIN'!$A$4:$J$541,7,0),0)</f>
        <v>0</v>
      </c>
      <c r="F363" s="1">
        <f>+IFERROR(VLOOKUP(A363,'TB MAIN'!$A$4:$J$541,10,0),0)</f>
        <v>32212</v>
      </c>
      <c r="G363" s="1">
        <f t="shared" si="15"/>
        <v>0</v>
      </c>
      <c r="H363" s="1">
        <f t="shared" si="16"/>
        <v>0</v>
      </c>
      <c r="I363" s="1">
        <f t="shared" si="17"/>
        <v>0</v>
      </c>
    </row>
    <row r="364" spans="1:9" ht="15" customHeight="1">
      <c r="A364" s="10" t="s">
        <v>367</v>
      </c>
      <c r="B364" s="11"/>
      <c r="C364" s="12">
        <v>98185</v>
      </c>
      <c r="E364" s="1">
        <f>+IFERROR(VLOOKUP(A364,'TB MAIN'!$A$4:$J$541,7,0),0)</f>
        <v>0</v>
      </c>
      <c r="F364" s="1">
        <f>+IFERROR(VLOOKUP(A364,'TB MAIN'!$A$4:$J$541,10,0),0)</f>
        <v>98185</v>
      </c>
      <c r="G364" s="1">
        <f t="shared" si="15"/>
        <v>0</v>
      </c>
      <c r="H364" s="1">
        <f t="shared" si="16"/>
        <v>0</v>
      </c>
      <c r="I364" s="1">
        <f t="shared" si="17"/>
        <v>0</v>
      </c>
    </row>
    <row r="365" spans="1:9" ht="15" customHeight="1">
      <c r="A365" s="10" t="s">
        <v>368</v>
      </c>
      <c r="B365" s="12">
        <v>213539</v>
      </c>
      <c r="C365" s="11"/>
      <c r="E365" s="1">
        <f>+IFERROR(VLOOKUP(A365,'TB MAIN'!$A$4:$J$541,7,0),0)</f>
        <v>213539</v>
      </c>
      <c r="F365" s="1">
        <f>+IFERROR(VLOOKUP(A365,'TB MAIN'!$A$4:$J$541,10,0),0)</f>
        <v>0</v>
      </c>
      <c r="G365" s="1">
        <f t="shared" si="15"/>
        <v>0</v>
      </c>
      <c r="H365" s="1">
        <f t="shared" si="16"/>
        <v>0</v>
      </c>
      <c r="I365" s="1">
        <f t="shared" si="17"/>
        <v>0</v>
      </c>
    </row>
    <row r="366" spans="1:9" ht="15" customHeight="1">
      <c r="A366" s="10" t="s">
        <v>369</v>
      </c>
      <c r="B366" s="12">
        <v>199368.3</v>
      </c>
      <c r="C366" s="11"/>
      <c r="E366" s="1">
        <f>+IFERROR(VLOOKUP(A366,'TB MAIN'!$A$4:$J$541,7,0),0)</f>
        <v>199368.3</v>
      </c>
      <c r="F366" s="1">
        <f>+IFERROR(VLOOKUP(A366,'TB MAIN'!$A$4:$J$541,10,0),0)</f>
        <v>0</v>
      </c>
      <c r="G366" s="1">
        <f t="shared" si="15"/>
        <v>0</v>
      </c>
      <c r="H366" s="1">
        <f t="shared" si="16"/>
        <v>0</v>
      </c>
      <c r="I366" s="1">
        <f t="shared" si="17"/>
        <v>0</v>
      </c>
    </row>
    <row r="367" spans="1:9" ht="15" customHeight="1">
      <c r="A367" s="10" t="s">
        <v>370</v>
      </c>
      <c r="B367" s="12">
        <v>1168754</v>
      </c>
      <c r="C367" s="11"/>
      <c r="E367" s="1">
        <f>+IFERROR(VLOOKUP(A367,'TB MAIN'!$A$4:$J$541,7,0),0)</f>
        <v>1168754</v>
      </c>
      <c r="F367" s="1">
        <f>+IFERROR(VLOOKUP(A367,'TB MAIN'!$A$4:$J$541,10,0),0)</f>
        <v>0</v>
      </c>
      <c r="G367" s="1">
        <f t="shared" si="15"/>
        <v>0</v>
      </c>
      <c r="H367" s="1">
        <f t="shared" si="16"/>
        <v>0</v>
      </c>
      <c r="I367" s="1">
        <f t="shared" si="17"/>
        <v>0</v>
      </c>
    </row>
    <row r="368" spans="1:9" ht="15" customHeight="1">
      <c r="A368" s="10" t="s">
        <v>371</v>
      </c>
      <c r="B368" s="12">
        <v>22000</v>
      </c>
      <c r="C368" s="11"/>
      <c r="E368" s="1">
        <f>+IFERROR(VLOOKUP(A368,'TB MAIN'!$A$4:$J$541,7,0),0)</f>
        <v>22000</v>
      </c>
      <c r="F368" s="1">
        <f>+IFERROR(VLOOKUP(A368,'TB MAIN'!$A$4:$J$541,10,0),0)</f>
        <v>0</v>
      </c>
      <c r="G368" s="1">
        <f t="shared" si="15"/>
        <v>0</v>
      </c>
      <c r="H368" s="1">
        <f t="shared" si="16"/>
        <v>0</v>
      </c>
      <c r="I368" s="1">
        <f t="shared" si="17"/>
        <v>0</v>
      </c>
    </row>
    <row r="369" spans="1:9" ht="15" customHeight="1">
      <c r="A369" s="10" t="s">
        <v>372</v>
      </c>
      <c r="B369" s="11"/>
      <c r="C369" s="12">
        <v>351168</v>
      </c>
      <c r="E369" s="1">
        <f>+IFERROR(VLOOKUP(A369,'TB MAIN'!$A$4:$J$541,7,0),0)</f>
        <v>0</v>
      </c>
      <c r="F369" s="1">
        <f>+IFERROR(VLOOKUP(A369,'TB MAIN'!$A$4:$J$541,10,0),0)</f>
        <v>351168</v>
      </c>
      <c r="G369" s="1">
        <f t="shared" si="15"/>
        <v>0</v>
      </c>
      <c r="H369" s="1">
        <f t="shared" si="16"/>
        <v>0</v>
      </c>
      <c r="I369" s="1">
        <f t="shared" si="17"/>
        <v>0</v>
      </c>
    </row>
    <row r="370" spans="1:9" ht="15" customHeight="1">
      <c r="A370" s="10" t="s">
        <v>1526</v>
      </c>
      <c r="B370" s="12">
        <v>44002</v>
      </c>
      <c r="C370" s="11"/>
      <c r="E370" s="1">
        <f>+IFERROR(VLOOKUP(A370,'TB MAIN'!$A$4:$J$541,7,0),0)</f>
        <v>44002</v>
      </c>
      <c r="F370" s="1">
        <f>+IFERROR(VLOOKUP(A370,'TB MAIN'!$A$4:$J$541,10,0),0)</f>
        <v>0</v>
      </c>
      <c r="G370" s="1">
        <f t="shared" si="15"/>
        <v>0</v>
      </c>
      <c r="H370" s="1">
        <f t="shared" si="16"/>
        <v>0</v>
      </c>
      <c r="I370" s="1">
        <f t="shared" si="17"/>
        <v>0</v>
      </c>
    </row>
    <row r="371" spans="1:9" ht="15" customHeight="1">
      <c r="A371" s="10" t="s">
        <v>374</v>
      </c>
      <c r="B371" s="12">
        <v>15292</v>
      </c>
      <c r="C371" s="11"/>
      <c r="E371" s="1">
        <f>+IFERROR(VLOOKUP(A371,'TB MAIN'!$A$4:$J$541,7,0),0)</f>
        <v>15292</v>
      </c>
      <c r="F371" s="1">
        <f>+IFERROR(VLOOKUP(A371,'TB MAIN'!$A$4:$J$541,10,0),0)</f>
        <v>0</v>
      </c>
      <c r="G371" s="1">
        <f t="shared" si="15"/>
        <v>0</v>
      </c>
      <c r="H371" s="1">
        <f t="shared" si="16"/>
        <v>0</v>
      </c>
      <c r="I371" s="1">
        <f t="shared" si="17"/>
        <v>0</v>
      </c>
    </row>
    <row r="372" spans="1:9">
      <c r="A372" s="10" t="s">
        <v>375</v>
      </c>
      <c r="B372" s="12">
        <v>21</v>
      </c>
      <c r="C372" s="11"/>
      <c r="E372" s="1">
        <f>+IFERROR(VLOOKUP(A372,'TB MAIN'!$A$4:$J$541,7,0),0)</f>
        <v>21</v>
      </c>
      <c r="F372" s="1">
        <f>+IFERROR(VLOOKUP(A372,'TB MAIN'!$A$4:$J$541,10,0),0)</f>
        <v>0</v>
      </c>
      <c r="G372" s="1">
        <f t="shared" si="15"/>
        <v>0</v>
      </c>
      <c r="H372" s="1">
        <f t="shared" si="16"/>
        <v>0</v>
      </c>
      <c r="I372" s="1">
        <f t="shared" si="17"/>
        <v>0</v>
      </c>
    </row>
    <row r="373" spans="1:9" ht="15" customHeight="1">
      <c r="A373" s="10" t="s">
        <v>376</v>
      </c>
      <c r="B373" s="11"/>
      <c r="C373" s="12">
        <v>5038</v>
      </c>
      <c r="E373" s="1">
        <f>+IFERROR(VLOOKUP(A373,'TB MAIN'!$A$4:$J$541,7,0),0)</f>
        <v>0</v>
      </c>
      <c r="F373" s="1">
        <f>+IFERROR(VLOOKUP(A373,'TB MAIN'!$A$4:$J$541,10,0),0)</f>
        <v>5038</v>
      </c>
      <c r="G373" s="1">
        <f t="shared" si="15"/>
        <v>0</v>
      </c>
      <c r="H373" s="1">
        <f t="shared" si="16"/>
        <v>0</v>
      </c>
      <c r="I373" s="1">
        <f t="shared" si="17"/>
        <v>0</v>
      </c>
    </row>
    <row r="374" spans="1:9" ht="15" customHeight="1">
      <c r="A374" s="10" t="s">
        <v>527</v>
      </c>
      <c r="B374" s="11"/>
      <c r="C374" s="12">
        <v>1902</v>
      </c>
      <c r="E374" s="1">
        <f>+IFERROR(VLOOKUP(A374,'TB MAIN'!$A$4:$J$541,7,0),0)</f>
        <v>0</v>
      </c>
      <c r="F374" s="1">
        <f>+IFERROR(VLOOKUP(A374,'TB MAIN'!$A$4:$J$541,10,0),0)</f>
        <v>1902</v>
      </c>
      <c r="G374" s="1">
        <f t="shared" si="15"/>
        <v>0</v>
      </c>
      <c r="H374" s="1">
        <f t="shared" si="16"/>
        <v>0</v>
      </c>
      <c r="I374" s="1">
        <f t="shared" si="17"/>
        <v>0</v>
      </c>
    </row>
    <row r="375" spans="1:9" ht="15" customHeight="1">
      <c r="A375" s="10" t="s">
        <v>377</v>
      </c>
      <c r="B375" s="11"/>
      <c r="C375" s="12">
        <v>16393.04</v>
      </c>
      <c r="E375" s="1">
        <f>+IFERROR(VLOOKUP(A375,'TB MAIN'!$A$4:$J$541,7,0),0)</f>
        <v>0</v>
      </c>
      <c r="F375" s="1">
        <f>+IFERROR(VLOOKUP(A375,'TB MAIN'!$A$4:$J$541,10,0),0)</f>
        <v>16393.04</v>
      </c>
      <c r="G375" s="1">
        <f t="shared" si="15"/>
        <v>0</v>
      </c>
      <c r="H375" s="1">
        <f t="shared" si="16"/>
        <v>0</v>
      </c>
      <c r="I375" s="1">
        <f t="shared" si="17"/>
        <v>0</v>
      </c>
    </row>
    <row r="376" spans="1:9" ht="15" customHeight="1">
      <c r="A376" s="10" t="s">
        <v>378</v>
      </c>
      <c r="B376" s="11"/>
      <c r="C376" s="12">
        <v>47856</v>
      </c>
      <c r="E376" s="1">
        <f>+IFERROR(VLOOKUP(A376,'TB MAIN'!$A$4:$J$541,7,0),0)</f>
        <v>0</v>
      </c>
      <c r="F376" s="1">
        <f>+IFERROR(VLOOKUP(A376,'TB MAIN'!$A$4:$J$541,10,0),0)</f>
        <v>47856</v>
      </c>
      <c r="G376" s="1">
        <f t="shared" si="15"/>
        <v>0</v>
      </c>
      <c r="H376" s="1">
        <f t="shared" si="16"/>
        <v>0</v>
      </c>
      <c r="I376" s="1">
        <f t="shared" si="17"/>
        <v>0</v>
      </c>
    </row>
    <row r="377" spans="1:9" ht="15" customHeight="1">
      <c r="A377" s="10" t="s">
        <v>379</v>
      </c>
      <c r="B377" s="11"/>
      <c r="C377" s="12">
        <v>3900</v>
      </c>
      <c r="E377" s="1">
        <f>+IFERROR(VLOOKUP(A377,'TB MAIN'!$A$4:$J$541,7,0),0)</f>
        <v>0</v>
      </c>
      <c r="F377" s="1">
        <f>+IFERROR(VLOOKUP(A377,'TB MAIN'!$A$4:$J$541,10,0),0)</f>
        <v>3900</v>
      </c>
      <c r="G377" s="1">
        <f t="shared" si="15"/>
        <v>0</v>
      </c>
      <c r="H377" s="1">
        <f t="shared" si="16"/>
        <v>0</v>
      </c>
      <c r="I377" s="1">
        <f t="shared" si="17"/>
        <v>0</v>
      </c>
    </row>
    <row r="378" spans="1:9" ht="15" customHeight="1">
      <c r="A378" s="10" t="s">
        <v>380</v>
      </c>
      <c r="B378" s="11"/>
      <c r="C378" s="12">
        <v>101044</v>
      </c>
      <c r="E378" s="1">
        <f>+IFERROR(VLOOKUP(A378,'TB MAIN'!$A$4:$J$541,7,0),0)</f>
        <v>0</v>
      </c>
      <c r="F378" s="1">
        <f>+IFERROR(VLOOKUP(A378,'TB MAIN'!$A$4:$J$541,10,0),0)</f>
        <v>101044</v>
      </c>
      <c r="G378" s="1">
        <f t="shared" si="15"/>
        <v>0</v>
      </c>
      <c r="H378" s="1">
        <f t="shared" si="16"/>
        <v>0</v>
      </c>
      <c r="I378" s="1">
        <f t="shared" si="17"/>
        <v>0</v>
      </c>
    </row>
    <row r="379" spans="1:9" ht="15" customHeight="1">
      <c r="A379" s="10" t="s">
        <v>381</v>
      </c>
      <c r="B379" s="11"/>
      <c r="C379" s="12">
        <v>92000</v>
      </c>
      <c r="E379" s="1">
        <f>+IFERROR(VLOOKUP(A379,'TB MAIN'!$A$4:$J$541,7,0),0)</f>
        <v>0</v>
      </c>
      <c r="F379" s="1">
        <f>+IFERROR(VLOOKUP(A379,'TB MAIN'!$A$4:$J$541,10,0),0)</f>
        <v>92000</v>
      </c>
      <c r="G379" s="1">
        <f t="shared" si="15"/>
        <v>0</v>
      </c>
      <c r="H379" s="1">
        <f t="shared" si="16"/>
        <v>0</v>
      </c>
      <c r="I379" s="1">
        <f t="shared" si="17"/>
        <v>0</v>
      </c>
    </row>
    <row r="380" spans="1:9" ht="15" customHeight="1">
      <c r="A380" s="10" t="s">
        <v>382</v>
      </c>
      <c r="B380" s="11"/>
      <c r="C380" s="12">
        <v>1977</v>
      </c>
      <c r="E380" s="1">
        <f>+IFERROR(VLOOKUP(A380,'TB MAIN'!$A$4:$J$541,7,0),0)</f>
        <v>0</v>
      </c>
      <c r="F380" s="1">
        <f>+IFERROR(VLOOKUP(A380,'TB MAIN'!$A$4:$J$541,10,0),0)</f>
        <v>1977</v>
      </c>
      <c r="G380" s="1">
        <f t="shared" si="15"/>
        <v>0</v>
      </c>
      <c r="H380" s="1">
        <f t="shared" si="16"/>
        <v>0</v>
      </c>
      <c r="I380" s="1">
        <f t="shared" si="17"/>
        <v>0</v>
      </c>
    </row>
    <row r="381" spans="1:9" ht="15" customHeight="1">
      <c r="A381" s="10" t="s">
        <v>383</v>
      </c>
      <c r="B381" s="11"/>
      <c r="C381" s="12">
        <v>51303.4</v>
      </c>
      <c r="E381" s="1">
        <f>+IFERROR(VLOOKUP(A381,'TB MAIN'!$A$4:$J$541,7,0),0)</f>
        <v>0</v>
      </c>
      <c r="F381" s="1">
        <f>+IFERROR(VLOOKUP(A381,'TB MAIN'!$A$4:$J$541,10,0),0)</f>
        <v>51303.4</v>
      </c>
      <c r="G381" s="1">
        <f t="shared" si="15"/>
        <v>0</v>
      </c>
      <c r="H381" s="1">
        <f t="shared" si="16"/>
        <v>0</v>
      </c>
      <c r="I381" s="1">
        <f t="shared" si="17"/>
        <v>0</v>
      </c>
    </row>
    <row r="382" spans="1:9" ht="15" customHeight="1">
      <c r="A382" s="10" t="s">
        <v>384</v>
      </c>
      <c r="B382" s="12">
        <v>57609.08</v>
      </c>
      <c r="C382" s="11"/>
      <c r="E382" s="1">
        <f>+IFERROR(VLOOKUP(A382,'TB MAIN'!$A$4:$J$541,7,0),0)</f>
        <v>57609.08</v>
      </c>
      <c r="F382" s="1">
        <f>+IFERROR(VLOOKUP(A382,'TB MAIN'!$A$4:$J$541,10,0),0)</f>
        <v>0</v>
      </c>
      <c r="G382" s="1">
        <f t="shared" si="15"/>
        <v>0</v>
      </c>
      <c r="H382" s="1">
        <f t="shared" si="16"/>
        <v>0</v>
      </c>
      <c r="I382" s="1">
        <f t="shared" si="17"/>
        <v>0</v>
      </c>
    </row>
    <row r="383" spans="1:9" ht="15" customHeight="1">
      <c r="A383" s="10" t="s">
        <v>385</v>
      </c>
      <c r="B383" s="11"/>
      <c r="C383" s="12">
        <v>1579</v>
      </c>
      <c r="E383" s="1">
        <f>+IFERROR(VLOOKUP(A383,'TB MAIN'!$A$4:$J$541,7,0),0)</f>
        <v>0</v>
      </c>
      <c r="F383" s="1">
        <f>+IFERROR(VLOOKUP(A383,'TB MAIN'!$A$4:$J$541,10,0),0)</f>
        <v>1579</v>
      </c>
      <c r="G383" s="1">
        <f t="shared" si="15"/>
        <v>0</v>
      </c>
      <c r="H383" s="1">
        <f t="shared" si="16"/>
        <v>0</v>
      </c>
      <c r="I383" s="1">
        <f t="shared" si="17"/>
        <v>0</v>
      </c>
    </row>
    <row r="384" spans="1:9" ht="15" customHeight="1">
      <c r="A384" s="10" t="s">
        <v>386</v>
      </c>
      <c r="B384" s="12">
        <v>97188</v>
      </c>
      <c r="C384" s="11"/>
      <c r="E384" s="1">
        <f>+IFERROR(VLOOKUP(A384,'TB MAIN'!$A$4:$J$541,7,0),0)</f>
        <v>97188</v>
      </c>
      <c r="F384" s="1">
        <f>+IFERROR(VLOOKUP(A384,'TB MAIN'!$A$4:$J$541,10,0),0)</f>
        <v>0</v>
      </c>
      <c r="G384" s="1">
        <f t="shared" si="15"/>
        <v>0</v>
      </c>
      <c r="H384" s="1">
        <f t="shared" si="16"/>
        <v>0</v>
      </c>
      <c r="I384" s="1">
        <f t="shared" si="17"/>
        <v>0</v>
      </c>
    </row>
    <row r="385" spans="1:9" ht="15" customHeight="1">
      <c r="A385" s="10" t="s">
        <v>387</v>
      </c>
      <c r="B385" s="11"/>
      <c r="C385" s="12">
        <v>553184</v>
      </c>
      <c r="E385" s="1">
        <f>+IFERROR(VLOOKUP(A385,'TB MAIN'!$A$4:$J$541,7,0),0)</f>
        <v>0</v>
      </c>
      <c r="F385" s="1">
        <f>+IFERROR(VLOOKUP(A385,'TB MAIN'!$A$4:$J$541,10,0),0)</f>
        <v>553184</v>
      </c>
      <c r="G385" s="1">
        <f t="shared" si="15"/>
        <v>0</v>
      </c>
      <c r="H385" s="1">
        <f t="shared" si="16"/>
        <v>0</v>
      </c>
      <c r="I385" s="1">
        <f t="shared" si="17"/>
        <v>0</v>
      </c>
    </row>
    <row r="386" spans="1:9" ht="15" customHeight="1">
      <c r="A386" s="10" t="s">
        <v>388</v>
      </c>
      <c r="B386" s="12">
        <v>61964</v>
      </c>
      <c r="C386" s="11"/>
      <c r="E386" s="1">
        <f>+IFERROR(VLOOKUP(A386,'TB MAIN'!$A$4:$J$541,7,0),0)</f>
        <v>61964</v>
      </c>
      <c r="F386" s="1">
        <f>+IFERROR(VLOOKUP(A386,'TB MAIN'!$A$4:$J$541,10,0),0)</f>
        <v>0</v>
      </c>
      <c r="G386" s="1">
        <f t="shared" si="15"/>
        <v>0</v>
      </c>
      <c r="H386" s="1">
        <f t="shared" si="16"/>
        <v>0</v>
      </c>
      <c r="I386" s="1">
        <f t="shared" si="17"/>
        <v>0</v>
      </c>
    </row>
    <row r="387" spans="1:9" ht="15" customHeight="1">
      <c r="A387" s="10" t="s">
        <v>389</v>
      </c>
      <c r="B387" s="12">
        <v>1281082.44</v>
      </c>
      <c r="C387" s="11"/>
      <c r="E387" s="1">
        <f>+IFERROR(VLOOKUP(A387,'TB MAIN'!$A$4:$J$541,7,0),0)</f>
        <v>1281082.44</v>
      </c>
      <c r="F387" s="1">
        <f>+IFERROR(VLOOKUP(A387,'TB MAIN'!$A$4:$J$541,10,0),0)</f>
        <v>0</v>
      </c>
      <c r="G387" s="1">
        <f t="shared" si="15"/>
        <v>0</v>
      </c>
      <c r="H387" s="1">
        <f t="shared" si="16"/>
        <v>0</v>
      </c>
      <c r="I387" s="1">
        <f t="shared" si="17"/>
        <v>0</v>
      </c>
    </row>
    <row r="388" spans="1:9" ht="15" customHeight="1">
      <c r="A388" s="10" t="s">
        <v>390</v>
      </c>
      <c r="B388" s="11"/>
      <c r="C388" s="12">
        <v>88755</v>
      </c>
      <c r="E388" s="1">
        <f>+IFERROR(VLOOKUP(A388,'TB MAIN'!$A$4:$J$541,7,0),0)</f>
        <v>0</v>
      </c>
      <c r="F388" s="1">
        <f>+IFERROR(VLOOKUP(A388,'TB MAIN'!$A$4:$J$541,10,0),0)</f>
        <v>88755</v>
      </c>
      <c r="G388" s="1">
        <f t="shared" si="15"/>
        <v>0</v>
      </c>
      <c r="H388" s="1">
        <f t="shared" si="16"/>
        <v>0</v>
      </c>
      <c r="I388" s="1">
        <f t="shared" si="17"/>
        <v>0</v>
      </c>
    </row>
    <row r="389" spans="1:9" ht="15" customHeight="1">
      <c r="A389" s="10" t="s">
        <v>391</v>
      </c>
      <c r="B389" s="12">
        <v>333284</v>
      </c>
      <c r="C389" s="11"/>
      <c r="E389" s="1">
        <f>+IFERROR(VLOOKUP(A389,'TB MAIN'!$A$4:$J$541,7,0),0)</f>
        <v>333284</v>
      </c>
      <c r="F389" s="1">
        <f>+IFERROR(VLOOKUP(A389,'TB MAIN'!$A$4:$J$541,10,0),0)</f>
        <v>0</v>
      </c>
      <c r="G389" s="1">
        <f t="shared" si="15"/>
        <v>0</v>
      </c>
      <c r="H389" s="1">
        <f t="shared" si="16"/>
        <v>0</v>
      </c>
      <c r="I389" s="1">
        <f t="shared" si="17"/>
        <v>0</v>
      </c>
    </row>
    <row r="390" spans="1:9" ht="15" customHeight="1">
      <c r="A390" s="10" t="s">
        <v>392</v>
      </c>
      <c r="B390" s="12">
        <v>900</v>
      </c>
      <c r="C390" s="11"/>
      <c r="E390" s="1">
        <f>+IFERROR(VLOOKUP(A390,'TB MAIN'!$A$4:$J$541,7,0),0)</f>
        <v>900</v>
      </c>
      <c r="F390" s="1">
        <f>+IFERROR(VLOOKUP(A390,'TB MAIN'!$A$4:$J$541,10,0),0)</f>
        <v>0</v>
      </c>
      <c r="G390" s="1">
        <f t="shared" si="15"/>
        <v>0</v>
      </c>
      <c r="H390" s="1">
        <f t="shared" si="16"/>
        <v>0</v>
      </c>
      <c r="I390" s="1">
        <f t="shared" si="17"/>
        <v>0</v>
      </c>
    </row>
    <row r="391" spans="1:9" ht="15" customHeight="1">
      <c r="A391" s="10" t="s">
        <v>393</v>
      </c>
      <c r="B391" s="12">
        <v>350000</v>
      </c>
      <c r="C391" s="11"/>
      <c r="E391" s="1">
        <f>+IFERROR(VLOOKUP(A391,'TB MAIN'!$A$4:$J$541,7,0),0)</f>
        <v>350000</v>
      </c>
      <c r="F391" s="1">
        <f>+IFERROR(VLOOKUP(A391,'TB MAIN'!$A$4:$J$541,10,0),0)</f>
        <v>0</v>
      </c>
      <c r="G391" s="1">
        <f t="shared" si="15"/>
        <v>0</v>
      </c>
      <c r="H391" s="1">
        <f t="shared" si="16"/>
        <v>0</v>
      </c>
      <c r="I391" s="1">
        <f t="shared" si="17"/>
        <v>0</v>
      </c>
    </row>
    <row r="392" spans="1:9" ht="15" customHeight="1">
      <c r="A392" s="10" t="s">
        <v>394</v>
      </c>
      <c r="B392" s="12">
        <v>676306.5</v>
      </c>
      <c r="C392" s="11"/>
      <c r="E392" s="1">
        <f>+IFERROR(VLOOKUP(A392,'TB MAIN'!$A$4:$J$541,7,0),0)</f>
        <v>676306.5</v>
      </c>
      <c r="F392" s="1">
        <f>+IFERROR(VLOOKUP(A392,'TB MAIN'!$A$4:$J$541,10,0),0)</f>
        <v>0</v>
      </c>
      <c r="G392" s="1">
        <f t="shared" si="15"/>
        <v>0</v>
      </c>
      <c r="H392" s="1">
        <f t="shared" si="16"/>
        <v>0</v>
      </c>
      <c r="I392" s="1">
        <f t="shared" si="17"/>
        <v>0</v>
      </c>
    </row>
    <row r="393" spans="1:9" ht="15" customHeight="1">
      <c r="A393" s="10" t="s">
        <v>395</v>
      </c>
      <c r="B393" s="12">
        <v>122689</v>
      </c>
      <c r="C393" s="11"/>
      <c r="E393" s="1">
        <f>+IFERROR(VLOOKUP(A393,'TB MAIN'!$A$4:$J$541,7,0),0)</f>
        <v>122689</v>
      </c>
      <c r="F393" s="1">
        <f>+IFERROR(VLOOKUP(A393,'TB MAIN'!$A$4:$J$541,10,0),0)</f>
        <v>0</v>
      </c>
      <c r="G393" s="1">
        <f t="shared" si="15"/>
        <v>0</v>
      </c>
      <c r="H393" s="1">
        <f t="shared" si="16"/>
        <v>0</v>
      </c>
      <c r="I393" s="1">
        <f t="shared" si="17"/>
        <v>0</v>
      </c>
    </row>
    <row r="394" spans="1:9" ht="15" customHeight="1">
      <c r="A394" s="10" t="s">
        <v>396</v>
      </c>
      <c r="B394" s="11"/>
      <c r="C394" s="12">
        <v>92820</v>
      </c>
      <c r="E394" s="1">
        <f>+IFERROR(VLOOKUP(A394,'TB MAIN'!$A$4:$J$541,7,0),0)</f>
        <v>0</v>
      </c>
      <c r="F394" s="1">
        <f>+IFERROR(VLOOKUP(A394,'TB MAIN'!$A$4:$J$541,10,0),0)</f>
        <v>92820</v>
      </c>
      <c r="G394" s="1">
        <f t="shared" si="15"/>
        <v>0</v>
      </c>
      <c r="H394" s="1">
        <f t="shared" si="16"/>
        <v>0</v>
      </c>
      <c r="I394" s="1">
        <f t="shared" si="17"/>
        <v>0</v>
      </c>
    </row>
    <row r="395" spans="1:9" ht="15" customHeight="1">
      <c r="A395" s="10" t="s">
        <v>397</v>
      </c>
      <c r="B395" s="11"/>
      <c r="C395" s="12">
        <v>2274218</v>
      </c>
      <c r="E395" s="1">
        <f>+IFERROR(VLOOKUP(A395,'TB MAIN'!$A$4:$J$541,7,0),0)</f>
        <v>0</v>
      </c>
      <c r="F395" s="1">
        <f>+IFERROR(VLOOKUP(A395,'TB MAIN'!$A$4:$J$541,10,0),0)</f>
        <v>2274218</v>
      </c>
      <c r="G395" s="1">
        <f t="shared" si="15"/>
        <v>0</v>
      </c>
      <c r="H395" s="1">
        <f t="shared" si="16"/>
        <v>0</v>
      </c>
      <c r="I395" s="1">
        <f t="shared" si="17"/>
        <v>0</v>
      </c>
    </row>
    <row r="396" spans="1:9" ht="15" customHeight="1">
      <c r="A396" s="10" t="s">
        <v>400</v>
      </c>
      <c r="B396" s="12">
        <v>14674</v>
      </c>
      <c r="C396" s="11"/>
      <c r="E396" s="1">
        <f>+IFERROR(VLOOKUP(A396,'TB MAIN'!$A$4:$J$541,7,0),0)</f>
        <v>14674</v>
      </c>
      <c r="F396" s="1">
        <f>+IFERROR(VLOOKUP(A396,'TB MAIN'!$A$4:$J$541,10,0),0)</f>
        <v>0</v>
      </c>
      <c r="G396" s="1">
        <f t="shared" si="15"/>
        <v>0</v>
      </c>
      <c r="H396" s="1">
        <f t="shared" si="16"/>
        <v>0</v>
      </c>
      <c r="I396" s="1">
        <f t="shared" si="17"/>
        <v>0</v>
      </c>
    </row>
    <row r="397" spans="1:9" ht="15" customHeight="1">
      <c r="A397" s="10" t="s">
        <v>1977</v>
      </c>
      <c r="B397" s="12">
        <v>24429.360000000001</v>
      </c>
      <c r="C397" s="11"/>
      <c r="E397" s="1">
        <f>+IFERROR(VLOOKUP(A397,'TB MAIN'!$A$4:$J$541,7,0),0)</f>
        <v>24429.360000000001</v>
      </c>
      <c r="F397" s="1">
        <f>+IFERROR(VLOOKUP(A397,'TB MAIN'!$A$4:$J$541,10,0),0)</f>
        <v>0</v>
      </c>
      <c r="G397" s="1">
        <f t="shared" ref="G397:G413" si="18">+B397-E397</f>
        <v>0</v>
      </c>
      <c r="H397" s="1">
        <f t="shared" ref="H397:H413" si="19">+C397-F397</f>
        <v>0</v>
      </c>
      <c r="I397" s="1">
        <f t="shared" ref="I397:I413" si="20">+G397+H397</f>
        <v>0</v>
      </c>
    </row>
    <row r="398" spans="1:9" ht="15" customHeight="1">
      <c r="A398" s="10" t="s">
        <v>401</v>
      </c>
      <c r="B398" s="12">
        <v>2991111</v>
      </c>
      <c r="C398" s="11"/>
      <c r="E398" s="1">
        <f>+IFERROR(VLOOKUP(A398,'TB MAIN'!$A$4:$J$541,7,0),0)</f>
        <v>2991111</v>
      </c>
      <c r="F398" s="1">
        <f>+IFERROR(VLOOKUP(A398,'TB MAIN'!$A$4:$J$541,10,0),0)</f>
        <v>0</v>
      </c>
      <c r="G398" s="1">
        <f t="shared" si="18"/>
        <v>0</v>
      </c>
      <c r="H398" s="1">
        <f t="shared" si="19"/>
        <v>0</v>
      </c>
      <c r="I398" s="1">
        <f t="shared" si="20"/>
        <v>0</v>
      </c>
    </row>
    <row r="399" spans="1:9" ht="15" customHeight="1">
      <c r="A399" s="10" t="s">
        <v>402</v>
      </c>
      <c r="B399" s="12">
        <v>332580</v>
      </c>
      <c r="C399" s="11"/>
      <c r="E399" s="1">
        <f>+IFERROR(VLOOKUP(A399,'TB MAIN'!$A$4:$J$541,7,0),0)</f>
        <v>332580</v>
      </c>
      <c r="F399" s="1">
        <f>+IFERROR(VLOOKUP(A399,'TB MAIN'!$A$4:$J$541,10,0),0)</f>
        <v>0</v>
      </c>
      <c r="G399" s="1">
        <f t="shared" si="18"/>
        <v>0</v>
      </c>
      <c r="H399" s="1">
        <f t="shared" si="19"/>
        <v>0</v>
      </c>
      <c r="I399" s="1">
        <f t="shared" si="20"/>
        <v>0</v>
      </c>
    </row>
    <row r="400" spans="1:9" ht="15" customHeight="1">
      <c r="A400" s="10" t="s">
        <v>403</v>
      </c>
      <c r="B400" s="12">
        <v>254656</v>
      </c>
      <c r="C400" s="11"/>
      <c r="E400" s="1">
        <f>+IFERROR(VLOOKUP(A400,'TB MAIN'!$A$4:$J$541,7,0),0)</f>
        <v>254656</v>
      </c>
      <c r="F400" s="1">
        <f>+IFERROR(VLOOKUP(A400,'TB MAIN'!$A$4:$J$541,10,0),0)</f>
        <v>0</v>
      </c>
      <c r="G400" s="1">
        <f t="shared" si="18"/>
        <v>0</v>
      </c>
      <c r="H400" s="1">
        <f t="shared" si="19"/>
        <v>0</v>
      </c>
      <c r="I400" s="1">
        <f t="shared" si="20"/>
        <v>0</v>
      </c>
    </row>
    <row r="401" spans="1:9" ht="15" customHeight="1">
      <c r="A401" s="10" t="s">
        <v>404</v>
      </c>
      <c r="B401" s="11"/>
      <c r="C401" s="12">
        <v>8130</v>
      </c>
      <c r="E401" s="1">
        <f>+IFERROR(VLOOKUP(A401,'TB MAIN'!$A$4:$J$541,7,0),0)</f>
        <v>0</v>
      </c>
      <c r="F401" s="1">
        <f>+IFERROR(VLOOKUP(A401,'TB MAIN'!$A$4:$J$541,10,0),0)</f>
        <v>8130</v>
      </c>
      <c r="G401" s="1">
        <f t="shared" si="18"/>
        <v>0</v>
      </c>
      <c r="H401" s="1">
        <f t="shared" si="19"/>
        <v>0</v>
      </c>
      <c r="I401" s="1">
        <f t="shared" si="20"/>
        <v>0</v>
      </c>
    </row>
    <row r="402" spans="1:9" ht="15" customHeight="1">
      <c r="A402" s="10" t="s">
        <v>405</v>
      </c>
      <c r="B402" s="11"/>
      <c r="C402" s="12">
        <v>4434</v>
      </c>
      <c r="E402" s="1">
        <f>+IFERROR(VLOOKUP(A402,'TB MAIN'!$A$4:$J$541,7,0),0)</f>
        <v>0</v>
      </c>
      <c r="F402" s="1">
        <f>+IFERROR(VLOOKUP(A402,'TB MAIN'!$A$4:$J$541,10,0),0)</f>
        <v>4434</v>
      </c>
      <c r="G402" s="1">
        <f t="shared" si="18"/>
        <v>0</v>
      </c>
      <c r="H402" s="1">
        <f t="shared" si="19"/>
        <v>0</v>
      </c>
      <c r="I402" s="1">
        <f t="shared" si="20"/>
        <v>0</v>
      </c>
    </row>
    <row r="403" spans="1:9" ht="15" customHeight="1">
      <c r="A403" s="10" t="s">
        <v>406</v>
      </c>
      <c r="B403" s="11"/>
      <c r="C403" s="12">
        <v>699844</v>
      </c>
      <c r="E403" s="1">
        <f>+IFERROR(VLOOKUP(A403,'TB MAIN'!$A$4:$J$541,7,0),0)</f>
        <v>0</v>
      </c>
      <c r="F403" s="1">
        <f>+IFERROR(VLOOKUP(A403,'TB MAIN'!$A$4:$J$541,10,0),0)</f>
        <v>699844</v>
      </c>
      <c r="G403" s="1">
        <f t="shared" si="18"/>
        <v>0</v>
      </c>
      <c r="H403" s="1">
        <f t="shared" si="19"/>
        <v>0</v>
      </c>
      <c r="I403" s="1">
        <f t="shared" si="20"/>
        <v>0</v>
      </c>
    </row>
    <row r="404" spans="1:9" ht="15" customHeight="1">
      <c r="A404" s="10" t="s">
        <v>407</v>
      </c>
      <c r="B404" s="11"/>
      <c r="C404" s="12">
        <v>7780</v>
      </c>
      <c r="E404" s="1">
        <f>+IFERROR(VLOOKUP(A404,'TB MAIN'!$A$4:$J$541,7,0),0)</f>
        <v>0</v>
      </c>
      <c r="F404" s="1">
        <f>+IFERROR(VLOOKUP(A404,'TB MAIN'!$A$4:$J$541,10,0),0)</f>
        <v>7780</v>
      </c>
      <c r="G404" s="1">
        <f t="shared" si="18"/>
        <v>0</v>
      </c>
      <c r="H404" s="1">
        <f t="shared" si="19"/>
        <v>0</v>
      </c>
      <c r="I404" s="1">
        <f t="shared" si="20"/>
        <v>0</v>
      </c>
    </row>
    <row r="405" spans="1:9" ht="15" customHeight="1">
      <c r="A405" s="10" t="s">
        <v>408</v>
      </c>
      <c r="B405" s="11"/>
      <c r="C405" s="12">
        <v>226800</v>
      </c>
      <c r="E405" s="1">
        <f>+IFERROR(VLOOKUP(A405,'TB MAIN'!$A$4:$J$541,7,0),0)</f>
        <v>0</v>
      </c>
      <c r="F405" s="1">
        <f>+IFERROR(VLOOKUP(A405,'TB MAIN'!$A$4:$J$541,10,0),0)</f>
        <v>226800</v>
      </c>
      <c r="G405" s="1">
        <f t="shared" si="18"/>
        <v>0</v>
      </c>
      <c r="H405" s="1">
        <f t="shared" si="19"/>
        <v>0</v>
      </c>
      <c r="I405" s="1">
        <f t="shared" si="20"/>
        <v>0</v>
      </c>
    </row>
    <row r="406" spans="1:9" ht="15" customHeight="1">
      <c r="A406" s="10" t="s">
        <v>409</v>
      </c>
      <c r="B406" s="12">
        <v>199906.5</v>
      </c>
      <c r="C406" s="11"/>
      <c r="E406" s="1">
        <f>+IFERROR(VLOOKUP(A406,'TB MAIN'!$A$4:$J$541,7,0),0)</f>
        <v>199906.5</v>
      </c>
      <c r="F406" s="1">
        <f>+IFERROR(VLOOKUP(A406,'TB MAIN'!$A$4:$J$541,10,0),0)</f>
        <v>0</v>
      </c>
      <c r="G406" s="1">
        <f t="shared" si="18"/>
        <v>0</v>
      </c>
      <c r="H406" s="1">
        <f t="shared" si="19"/>
        <v>0</v>
      </c>
      <c r="I406" s="1">
        <f t="shared" si="20"/>
        <v>0</v>
      </c>
    </row>
    <row r="407" spans="1:9" ht="15" customHeight="1">
      <c r="A407" s="10" t="s">
        <v>410</v>
      </c>
      <c r="B407" s="12">
        <v>6659960</v>
      </c>
      <c r="C407" s="11"/>
      <c r="E407" s="1">
        <f>+IFERROR(VLOOKUP(A407,'TB MAIN'!$A$4:$J$541,7,0),0)</f>
        <v>6659960</v>
      </c>
      <c r="F407" s="1">
        <f>+IFERROR(VLOOKUP(A407,'TB MAIN'!$A$4:$J$541,10,0),0)</f>
        <v>0</v>
      </c>
      <c r="G407" s="1">
        <f t="shared" si="18"/>
        <v>0</v>
      </c>
      <c r="H407" s="1">
        <f t="shared" si="19"/>
        <v>0</v>
      </c>
      <c r="I407" s="1">
        <f t="shared" si="20"/>
        <v>0</v>
      </c>
    </row>
    <row r="408" spans="1:9" ht="15" customHeight="1">
      <c r="A408" s="10" t="s">
        <v>411</v>
      </c>
      <c r="B408" s="12">
        <v>237660256.5</v>
      </c>
      <c r="C408" s="11"/>
      <c r="E408" s="1">
        <f>+IFERROR(VLOOKUP(A408,'TB MAIN'!$A$4:$J$541,7,0),0)</f>
        <v>237660256.5</v>
      </c>
      <c r="F408" s="1">
        <f>+IFERROR(VLOOKUP(A408,'TB MAIN'!$A$4:$J$541,10,0),0)</f>
        <v>0</v>
      </c>
      <c r="G408" s="1">
        <f t="shared" si="18"/>
        <v>0</v>
      </c>
      <c r="H408" s="1">
        <f t="shared" si="19"/>
        <v>0</v>
      </c>
      <c r="I408" s="1">
        <f t="shared" si="20"/>
        <v>0</v>
      </c>
    </row>
    <row r="409" spans="1:9" ht="15" customHeight="1">
      <c r="A409" s="10" t="s">
        <v>412</v>
      </c>
      <c r="B409" s="11"/>
      <c r="C409" s="12">
        <v>841449.98</v>
      </c>
      <c r="E409" s="1">
        <f>+IFERROR(VLOOKUP(A409,'TB MAIN'!$A$4:$J$541,7,0),0)</f>
        <v>0</v>
      </c>
      <c r="F409" s="1">
        <f>+IFERROR(VLOOKUP(A409,'TB MAIN'!$A$4:$J$541,10,0),0)</f>
        <v>841449.98</v>
      </c>
      <c r="G409" s="1">
        <f t="shared" si="18"/>
        <v>0</v>
      </c>
      <c r="H409" s="1">
        <f t="shared" si="19"/>
        <v>0</v>
      </c>
      <c r="I409" s="1">
        <f t="shared" si="20"/>
        <v>0</v>
      </c>
    </row>
    <row r="410" spans="1:9" ht="15" customHeight="1">
      <c r="A410" s="10" t="s">
        <v>413</v>
      </c>
      <c r="B410" s="12">
        <v>172560</v>
      </c>
      <c r="C410" s="11"/>
      <c r="E410" s="1">
        <f>+IFERROR(VLOOKUP(A410,'TB MAIN'!$A$4:$J$541,7,0),0)</f>
        <v>172560</v>
      </c>
      <c r="F410" s="1">
        <f>+IFERROR(VLOOKUP(A410,'TB MAIN'!$A$4:$J$541,10,0),0)</f>
        <v>0</v>
      </c>
      <c r="G410" s="1">
        <f t="shared" si="18"/>
        <v>0</v>
      </c>
      <c r="H410" s="1">
        <f t="shared" si="19"/>
        <v>0</v>
      </c>
      <c r="I410" s="1">
        <f t="shared" si="20"/>
        <v>0</v>
      </c>
    </row>
    <row r="411" spans="1:9" ht="15" customHeight="1">
      <c r="A411" s="10" t="s">
        <v>414</v>
      </c>
      <c r="B411" s="12">
        <v>229919.2</v>
      </c>
      <c r="C411" s="11"/>
      <c r="E411" s="1">
        <f>+IFERROR(VLOOKUP(A411,'TB MAIN'!$A$4:$J$541,7,0),0)</f>
        <v>229919.2</v>
      </c>
      <c r="F411" s="1">
        <f>+IFERROR(VLOOKUP(A411,'TB MAIN'!$A$4:$J$541,10,0),0)</f>
        <v>0</v>
      </c>
      <c r="G411" s="1">
        <f t="shared" si="18"/>
        <v>0</v>
      </c>
      <c r="H411" s="1">
        <f t="shared" si="19"/>
        <v>0</v>
      </c>
      <c r="I411" s="1">
        <f t="shared" si="20"/>
        <v>0</v>
      </c>
    </row>
    <row r="412" spans="1:9" ht="15" customHeight="1">
      <c r="A412" s="10" t="s">
        <v>415</v>
      </c>
      <c r="B412" s="11"/>
      <c r="C412" s="12">
        <v>52406</v>
      </c>
      <c r="E412" s="1">
        <f>+IFERROR(VLOOKUP(A412,'TB MAIN'!$A$4:$J$541,7,0),0)</f>
        <v>0</v>
      </c>
      <c r="F412" s="1">
        <f>+IFERROR(VLOOKUP(A412,'TB MAIN'!$A$4:$J$541,10,0),0)</f>
        <v>52406</v>
      </c>
      <c r="G412" s="1">
        <f t="shared" si="18"/>
        <v>0</v>
      </c>
      <c r="H412" s="1">
        <f t="shared" si="19"/>
        <v>0</v>
      </c>
      <c r="I412" s="1">
        <f t="shared" si="20"/>
        <v>0</v>
      </c>
    </row>
    <row r="413" spans="1:9" ht="15" customHeight="1">
      <c r="A413" s="10" t="s">
        <v>416</v>
      </c>
      <c r="B413" s="12">
        <v>5716</v>
      </c>
      <c r="C413" s="11"/>
      <c r="E413" s="1">
        <f>+IFERROR(VLOOKUP(A413,'TB MAIN'!$A$4:$J$541,7,0),0)</f>
        <v>5716</v>
      </c>
      <c r="F413" s="1">
        <f>+IFERROR(VLOOKUP(A413,'TB MAIN'!$A$4:$J$541,10,0),0)</f>
        <v>0</v>
      </c>
      <c r="G413" s="1">
        <f t="shared" si="18"/>
        <v>0</v>
      </c>
      <c r="H413" s="1">
        <f t="shared" si="19"/>
        <v>0</v>
      </c>
      <c r="I413" s="1">
        <f t="shared" si="20"/>
        <v>0</v>
      </c>
    </row>
    <row r="414" spans="1:9">
      <c r="A414" s="10" t="s">
        <v>417</v>
      </c>
      <c r="B414" s="12">
        <v>18060676</v>
      </c>
      <c r="C414" s="11"/>
      <c r="E414" s="1">
        <f>+IFERROR(VLOOKUP(A414,'TB MAIN'!$A$4:$J$541,7,0),0)</f>
        <v>18060676</v>
      </c>
      <c r="F414" s="1">
        <f>+IFERROR(VLOOKUP(A414,'TB MAIN'!$A$4:$J$541,10,0),0)</f>
        <v>0</v>
      </c>
      <c r="G414" s="1">
        <f t="shared" ref="G414:G415" si="21">+B414-E414</f>
        <v>0</v>
      </c>
      <c r="H414" s="1">
        <f t="shared" ref="H414:H415" si="22">+C414-F414</f>
        <v>0</v>
      </c>
      <c r="I414" s="1">
        <f t="shared" ref="I414:I415" si="23">+G414+H414</f>
        <v>0</v>
      </c>
    </row>
    <row r="415" spans="1:9">
      <c r="A415" s="730" t="s">
        <v>418</v>
      </c>
      <c r="B415" s="731">
        <v>1255100493.1099999</v>
      </c>
      <c r="C415" s="731">
        <v>1255100493.1099999</v>
      </c>
      <c r="E415" s="1">
        <f>+IFERROR(VLOOKUP(A415,'TB MAIN'!$A$4:$J$541,7,0),0)</f>
        <v>0</v>
      </c>
      <c r="F415" s="1">
        <f>+IFERROR(VLOOKUP(A415,'TB MAIN'!$A$4:$J$541,10,0),0)</f>
        <v>0</v>
      </c>
      <c r="G415" s="1">
        <f t="shared" si="21"/>
        <v>1255100493.1099999</v>
      </c>
      <c r="H415" s="1">
        <f t="shared" si="22"/>
        <v>1255100493.1099999</v>
      </c>
      <c r="I415" s="1">
        <f t="shared" si="23"/>
        <v>2510200986.2199998</v>
      </c>
    </row>
  </sheetData>
  <autoFilter ref="A11:I415"/>
  <customSheetViews>
    <customSheetView guid="{F039C147-8083-49A0-B541-A610A15BA793}" showAutoFilter="1">
      <selection activeCell="Q21" sqref="Q21"/>
      <pageMargins left="0.7" right="0.7" top="0.75" bottom="0.75" header="0.3" footer="0.3"/>
      <pageSetup orientation="portrait" r:id="rId1"/>
      <autoFilter ref="A11:I413"/>
    </customSheetView>
    <customSheetView guid="{F140806D-66CA-4A66-855A-CCBDE7D69760}" filter="1" showAutoFilter="1">
      <selection activeCell="A352" sqref="A352"/>
      <pageMargins left="0.7" right="0.7" top="0.75" bottom="0.75" header="0.3" footer="0.3"/>
      <pageSetup orientation="portrait" r:id="rId2"/>
      <autoFilter ref="A11:I413">
        <filterColumn colId="8">
          <filters>
            <filter val="16,500.00"/>
          </filters>
        </filterColumn>
      </autoFilter>
    </customSheetView>
  </customSheetViews>
  <mergeCells count="10">
    <mergeCell ref="B9:C9"/>
    <mergeCell ref="B10:C10"/>
    <mergeCell ref="B8:C8"/>
    <mergeCell ref="A1:C1"/>
    <mergeCell ref="A2:C2"/>
    <mergeCell ref="A3:C3"/>
    <mergeCell ref="A4:C4"/>
    <mergeCell ref="A5:C5"/>
    <mergeCell ref="A6:C6"/>
    <mergeCell ref="A7:C7"/>
  </mergeCells>
  <pageMargins left="0.7" right="0.7" top="0.75" bottom="0.75" header="0.3" footer="0.3"/>
  <pageSetup orientation="portrait"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2"/>
  <sheetViews>
    <sheetView topLeftCell="A402" workbookViewId="0">
      <selection sqref="A1:C1"/>
    </sheetView>
  </sheetViews>
  <sheetFormatPr defaultRowHeight="15"/>
  <cols>
    <col min="1" max="1" width="48.140625" bestFit="1" customWidth="1"/>
    <col min="2" max="3" width="16.42578125" style="1" bestFit="1" customWidth="1"/>
    <col min="5" max="5" width="17.5703125" bestFit="1" customWidth="1"/>
    <col min="6" max="6" width="17.5703125" style="1" bestFit="1" customWidth="1"/>
    <col min="7" max="9" width="15.85546875" bestFit="1" customWidth="1"/>
  </cols>
  <sheetData>
    <row r="1" spans="1:9" ht="15.75">
      <c r="A1" s="1588" t="s">
        <v>0</v>
      </c>
      <c r="B1" s="1588"/>
      <c r="C1" s="1588"/>
    </row>
    <row r="2" spans="1:9">
      <c r="A2" s="1589" t="s">
        <v>1</v>
      </c>
      <c r="B2" s="1589"/>
      <c r="C2" s="1589"/>
    </row>
    <row r="3" spans="1:9">
      <c r="A3" s="1589" t="s">
        <v>2</v>
      </c>
      <c r="B3" s="1589"/>
      <c r="C3" s="1589"/>
    </row>
    <row r="4" spans="1:9">
      <c r="A4" s="1590" t="s">
        <v>3</v>
      </c>
      <c r="B4" s="1590"/>
      <c r="C4" s="1590"/>
    </row>
    <row r="5" spans="1:9" ht="15.75">
      <c r="A5" s="1591" t="s">
        <v>5</v>
      </c>
      <c r="B5" s="1591"/>
      <c r="C5" s="1591"/>
    </row>
    <row r="6" spans="1:9">
      <c r="A6" s="1589" t="s">
        <v>419</v>
      </c>
      <c r="B6" s="1589"/>
      <c r="C6" s="1589"/>
    </row>
    <row r="7" spans="1:9" ht="15" customHeight="1">
      <c r="A7" s="2" t="s">
        <v>7</v>
      </c>
      <c r="B7" s="1592" t="s">
        <v>420</v>
      </c>
      <c r="C7" s="1587"/>
    </row>
    <row r="8" spans="1:9" ht="15" customHeight="1">
      <c r="A8" s="3" t="s">
        <v>9</v>
      </c>
      <c r="B8" s="1582" t="s">
        <v>419</v>
      </c>
      <c r="C8" s="1583"/>
    </row>
    <row r="9" spans="1:9">
      <c r="A9" s="3" t="s">
        <v>7</v>
      </c>
      <c r="B9" s="1593" t="s">
        <v>10</v>
      </c>
      <c r="C9" s="1585"/>
    </row>
    <row r="10" spans="1:9">
      <c r="A10" s="4" t="s">
        <v>7</v>
      </c>
      <c r="B10" s="5" t="s">
        <v>11</v>
      </c>
      <c r="C10" s="5" t="s">
        <v>12</v>
      </c>
      <c r="E10" t="s">
        <v>421</v>
      </c>
      <c r="F10" s="1" t="s">
        <v>422</v>
      </c>
      <c r="G10" t="s">
        <v>423</v>
      </c>
      <c r="H10" t="s">
        <v>424</v>
      </c>
      <c r="I10" t="s">
        <v>425</v>
      </c>
    </row>
    <row r="11" spans="1:9" s="15" customFormat="1">
      <c r="A11" s="7" t="s">
        <v>18</v>
      </c>
      <c r="B11" s="8">
        <v>42797876</v>
      </c>
      <c r="C11" s="9"/>
      <c r="E11" s="16">
        <f>+IFERROR(VLOOKUP(A11,'[49]TB NEW'!$A$6:$P$714,7,0),0)</f>
        <v>0</v>
      </c>
      <c r="F11" s="16">
        <f>+IFERROR(VLOOKUP(A11,'[49]TB NEW'!$A$6:$P$714,10,0),0)</f>
        <v>0</v>
      </c>
      <c r="G11" s="17">
        <f t="shared" ref="G11:H74" si="0">+B11-E11</f>
        <v>42797876</v>
      </c>
      <c r="H11" s="17">
        <f t="shared" si="0"/>
        <v>0</v>
      </c>
      <c r="I11" s="17">
        <f t="shared" ref="I11:I74" si="1">+G11+H11</f>
        <v>42797876</v>
      </c>
    </row>
    <row r="12" spans="1:9" s="15" customFormat="1">
      <c r="A12" s="10" t="s">
        <v>20</v>
      </c>
      <c r="B12" s="12">
        <v>12325000</v>
      </c>
      <c r="C12" s="11"/>
      <c r="E12" s="16">
        <f>+IFERROR(VLOOKUP(A12,'[49]TB NEW'!$A$6:$P$714,7,0),0)</f>
        <v>14636699</v>
      </c>
      <c r="F12" s="16">
        <f>+IFERROR(VLOOKUP(A12,'[49]TB NEW'!$A$6:$P$714,10,0),0)</f>
        <v>0</v>
      </c>
      <c r="G12" s="17">
        <f t="shared" si="0"/>
        <v>-2311699</v>
      </c>
      <c r="H12" s="17">
        <f t="shared" si="0"/>
        <v>0</v>
      </c>
      <c r="I12" s="17">
        <f t="shared" si="1"/>
        <v>-2311699</v>
      </c>
    </row>
    <row r="13" spans="1:9" s="15" customFormat="1">
      <c r="A13" s="10" t="s">
        <v>22</v>
      </c>
      <c r="B13" s="12">
        <v>77814</v>
      </c>
      <c r="C13" s="11"/>
      <c r="E13" s="16">
        <f>+IFERROR(VLOOKUP(A13,'[49]TB NEW'!$A$6:$P$714,7,0),0)</f>
        <v>113158</v>
      </c>
      <c r="F13" s="16">
        <f>+IFERROR(VLOOKUP(A13,'[49]TB NEW'!$A$6:$P$714,10,0),0)</f>
        <v>0</v>
      </c>
      <c r="G13" s="17">
        <f t="shared" si="0"/>
        <v>-35344</v>
      </c>
      <c r="H13" s="17">
        <f t="shared" si="0"/>
        <v>0</v>
      </c>
      <c r="I13" s="17">
        <f t="shared" si="1"/>
        <v>-35344</v>
      </c>
    </row>
    <row r="14" spans="1:9" s="15" customFormat="1">
      <c r="A14" s="10" t="s">
        <v>25</v>
      </c>
      <c r="B14" s="11"/>
      <c r="C14" s="12">
        <v>86400</v>
      </c>
      <c r="E14" s="16">
        <f>+IFERROR(VLOOKUP(A14,'[49]TB NEW'!$A$6:$P$714,7,0),0)</f>
        <v>0</v>
      </c>
      <c r="F14" s="16">
        <f>+IFERROR(VLOOKUP(A14,'[49]TB NEW'!$A$6:$P$714,10,0),0)</f>
        <v>135000</v>
      </c>
      <c r="G14" s="17">
        <f t="shared" si="0"/>
        <v>0</v>
      </c>
      <c r="H14" s="17">
        <f t="shared" si="0"/>
        <v>-48600</v>
      </c>
      <c r="I14" s="17">
        <f t="shared" si="1"/>
        <v>-48600</v>
      </c>
    </row>
    <row r="15" spans="1:9" s="15" customFormat="1">
      <c r="A15" s="10" t="s">
        <v>26</v>
      </c>
      <c r="B15" s="12">
        <v>2429585</v>
      </c>
      <c r="C15" s="11"/>
      <c r="E15" s="16">
        <f>+IFERROR(VLOOKUP(A15,'[49]TB NEW'!$A$6:$P$714,7,0),0)</f>
        <v>1152502</v>
      </c>
      <c r="F15" s="16">
        <f>+IFERROR(VLOOKUP(A15,'[49]TB NEW'!$A$6:$P$714,10,0),0)</f>
        <v>0</v>
      </c>
      <c r="G15" s="17">
        <f t="shared" si="0"/>
        <v>1277083</v>
      </c>
      <c r="H15" s="17">
        <f t="shared" si="0"/>
        <v>0</v>
      </c>
      <c r="I15" s="17">
        <f t="shared" si="1"/>
        <v>1277083</v>
      </c>
    </row>
    <row r="16" spans="1:9" s="15" customFormat="1">
      <c r="A16" s="10" t="s">
        <v>27</v>
      </c>
      <c r="B16" s="12">
        <v>2907317</v>
      </c>
      <c r="C16" s="11"/>
      <c r="E16" s="16">
        <f>+IFERROR(VLOOKUP(A16,'[49]TB NEW'!$A$6:$P$714,7,0),0)</f>
        <v>3898375</v>
      </c>
      <c r="F16" s="16">
        <f>+IFERROR(VLOOKUP(A16,'[49]TB NEW'!$A$6:$P$714,10,0),0)</f>
        <v>0</v>
      </c>
      <c r="G16" s="17">
        <f t="shared" si="0"/>
        <v>-991058</v>
      </c>
      <c r="H16" s="17">
        <f t="shared" si="0"/>
        <v>0</v>
      </c>
      <c r="I16" s="17">
        <f t="shared" si="1"/>
        <v>-991058</v>
      </c>
    </row>
    <row r="17" spans="1:9" s="15" customFormat="1">
      <c r="A17" s="10" t="s">
        <v>426</v>
      </c>
      <c r="B17" s="12">
        <v>278760</v>
      </c>
      <c r="C17" s="11"/>
      <c r="E17" s="16">
        <f>+IFERROR(VLOOKUP(A17,'[49]TB NEW'!$A$6:$P$714,7,0),0)</f>
        <v>0</v>
      </c>
      <c r="F17" s="16">
        <f>+IFERROR(VLOOKUP(A17,'[49]TB NEW'!$A$6:$P$714,10,0),0)</f>
        <v>0</v>
      </c>
      <c r="G17" s="17">
        <f t="shared" si="0"/>
        <v>278760</v>
      </c>
      <c r="H17" s="17">
        <f t="shared" si="0"/>
        <v>0</v>
      </c>
      <c r="I17" s="17">
        <f t="shared" si="1"/>
        <v>278760</v>
      </c>
    </row>
    <row r="18" spans="1:9" s="15" customFormat="1">
      <c r="A18" s="10" t="s">
        <v>28</v>
      </c>
      <c r="B18" s="11"/>
      <c r="C18" s="12">
        <v>28955</v>
      </c>
      <c r="E18" s="16">
        <f>+IFERROR(VLOOKUP(A18,'[49]TB NEW'!$A$6:$P$714,7,0),0)</f>
        <v>0</v>
      </c>
      <c r="F18" s="16">
        <f>+IFERROR(VLOOKUP(A18,'[49]TB NEW'!$A$6:$P$714,10,0),0)</f>
        <v>54318</v>
      </c>
      <c r="G18" s="17">
        <f t="shared" si="0"/>
        <v>0</v>
      </c>
      <c r="H18" s="17">
        <f t="shared" si="0"/>
        <v>-25363</v>
      </c>
      <c r="I18" s="17">
        <f t="shared" si="1"/>
        <v>-25363</v>
      </c>
    </row>
    <row r="19" spans="1:9" s="15" customFormat="1">
      <c r="A19" s="10" t="s">
        <v>30</v>
      </c>
      <c r="B19" s="11"/>
      <c r="C19" s="12">
        <v>68388</v>
      </c>
      <c r="E19" s="16">
        <f>+IFERROR(VLOOKUP(A19,'[49]TB NEW'!$A$6:$P$714,7,0),0)</f>
        <v>0</v>
      </c>
      <c r="F19" s="16">
        <f>+IFERROR(VLOOKUP(A19,'[49]TB NEW'!$A$6:$P$714,10,0),0)</f>
        <v>136776</v>
      </c>
      <c r="G19" s="17">
        <f t="shared" si="0"/>
        <v>0</v>
      </c>
      <c r="H19" s="17">
        <f t="shared" si="0"/>
        <v>-68388</v>
      </c>
      <c r="I19" s="17">
        <f t="shared" si="1"/>
        <v>-68388</v>
      </c>
    </row>
    <row r="20" spans="1:9" s="15" customFormat="1">
      <c r="A20" s="10" t="s">
        <v>32</v>
      </c>
      <c r="B20" s="11"/>
      <c r="C20" s="12">
        <v>2000000</v>
      </c>
      <c r="E20" s="16">
        <f>+IFERROR(VLOOKUP(A20,'[49]TB NEW'!$A$6:$P$714,7,0),0)</f>
        <v>0</v>
      </c>
      <c r="F20" s="16">
        <f>+IFERROR(VLOOKUP(A20,'[49]TB NEW'!$A$6:$P$714,10,0),0)</f>
        <v>2186694</v>
      </c>
      <c r="G20" s="17">
        <f t="shared" si="0"/>
        <v>0</v>
      </c>
      <c r="H20" s="17">
        <f t="shared" si="0"/>
        <v>-186694</v>
      </c>
      <c r="I20" s="17">
        <f t="shared" si="1"/>
        <v>-186694</v>
      </c>
    </row>
    <row r="21" spans="1:9" s="15" customFormat="1">
      <c r="A21" s="10" t="s">
        <v>427</v>
      </c>
      <c r="B21" s="11"/>
      <c r="C21" s="12">
        <v>2291</v>
      </c>
      <c r="E21" s="16">
        <f>+IFERROR(VLOOKUP(A21,'[49]TB NEW'!$A$6:$P$714,7,0),0)</f>
        <v>0</v>
      </c>
      <c r="F21" s="16">
        <f>+IFERROR(VLOOKUP(A21,'[49]TB NEW'!$A$6:$P$714,10,0),0)</f>
        <v>0</v>
      </c>
      <c r="G21" s="17">
        <f t="shared" si="0"/>
        <v>0</v>
      </c>
      <c r="H21" s="17">
        <f t="shared" si="0"/>
        <v>2291</v>
      </c>
      <c r="I21" s="17">
        <f t="shared" si="1"/>
        <v>2291</v>
      </c>
    </row>
    <row r="22" spans="1:9" s="15" customFormat="1">
      <c r="A22" s="10" t="s">
        <v>33</v>
      </c>
      <c r="B22" s="11"/>
      <c r="C22" s="12">
        <v>800000</v>
      </c>
      <c r="E22" s="16">
        <f>+IFERROR(VLOOKUP(A22,'[49]TB NEW'!$A$6:$P$714,7,0),0)</f>
        <v>0</v>
      </c>
      <c r="F22" s="16">
        <f>+IFERROR(VLOOKUP(A22,'[49]TB NEW'!$A$6:$P$714,10,0),0)</f>
        <v>874676</v>
      </c>
      <c r="G22" s="17">
        <f t="shared" si="0"/>
        <v>0</v>
      </c>
      <c r="H22" s="17">
        <f t="shared" si="0"/>
        <v>-74676</v>
      </c>
      <c r="I22" s="17">
        <f t="shared" si="1"/>
        <v>-74676</v>
      </c>
    </row>
    <row r="23" spans="1:9" s="15" customFormat="1">
      <c r="A23" s="10" t="s">
        <v>35</v>
      </c>
      <c r="B23" s="12">
        <v>9000</v>
      </c>
      <c r="C23" s="11"/>
      <c r="E23" s="16">
        <f>+IFERROR(VLOOKUP(A23,'[49]TB NEW'!$A$6:$P$714,7,0),0)</f>
        <v>9000</v>
      </c>
      <c r="F23" s="16">
        <f>+IFERROR(VLOOKUP(A23,'[49]TB NEW'!$A$6:$P$714,10,0),0)</f>
        <v>0</v>
      </c>
      <c r="G23" s="17">
        <f t="shared" si="0"/>
        <v>0</v>
      </c>
      <c r="H23" s="17">
        <f t="shared" si="0"/>
        <v>0</v>
      </c>
      <c r="I23" s="17">
        <f t="shared" si="1"/>
        <v>0</v>
      </c>
    </row>
    <row r="24" spans="1:9" s="15" customFormat="1">
      <c r="A24" s="10" t="s">
        <v>36</v>
      </c>
      <c r="B24" s="12">
        <v>64000</v>
      </c>
      <c r="C24" s="11"/>
      <c r="E24" s="16">
        <f>+IFERROR(VLOOKUP(A24,'[49]TB NEW'!$A$6:$P$714,7,0),0)</f>
        <v>64000</v>
      </c>
      <c r="F24" s="16">
        <f>+IFERROR(VLOOKUP(A24,'[49]TB NEW'!$A$6:$P$714,10,0),0)</f>
        <v>0</v>
      </c>
      <c r="G24" s="17">
        <f t="shared" si="0"/>
        <v>0</v>
      </c>
      <c r="H24" s="17">
        <f t="shared" si="0"/>
        <v>0</v>
      </c>
      <c r="I24" s="17">
        <f t="shared" si="1"/>
        <v>0</v>
      </c>
    </row>
    <row r="25" spans="1:9" s="15" customFormat="1">
      <c r="A25" s="10" t="s">
        <v>428</v>
      </c>
      <c r="B25" s="11"/>
      <c r="C25" s="12">
        <v>193064</v>
      </c>
      <c r="E25" s="16">
        <f>+IFERROR(VLOOKUP(A25,'[49]TB NEW'!$A$6:$P$714,7,0),0)</f>
        <v>0</v>
      </c>
      <c r="F25" s="16">
        <f>+IFERROR(VLOOKUP(A25,'[49]TB NEW'!$A$6:$P$714,10,0),0)</f>
        <v>0</v>
      </c>
      <c r="G25" s="17">
        <f t="shared" si="0"/>
        <v>0</v>
      </c>
      <c r="H25" s="17">
        <f t="shared" si="0"/>
        <v>193064</v>
      </c>
      <c r="I25" s="17">
        <f t="shared" si="1"/>
        <v>193064</v>
      </c>
    </row>
    <row r="26" spans="1:9" s="15" customFormat="1">
      <c r="A26" s="10" t="s">
        <v>429</v>
      </c>
      <c r="B26" s="12">
        <v>283582</v>
      </c>
      <c r="C26" s="11"/>
      <c r="E26" s="16">
        <f>+IFERROR(VLOOKUP(A26,'[49]TB NEW'!$A$6:$P$714,7,0),0)</f>
        <v>0</v>
      </c>
      <c r="F26" s="16">
        <f>+IFERROR(VLOOKUP(A26,'[49]TB NEW'!$A$6:$P$714,10,0),0)</f>
        <v>0</v>
      </c>
      <c r="G26" s="17">
        <f t="shared" si="0"/>
        <v>283582</v>
      </c>
      <c r="H26" s="17">
        <f t="shared" si="0"/>
        <v>0</v>
      </c>
      <c r="I26" s="17">
        <f t="shared" si="1"/>
        <v>283582</v>
      </c>
    </row>
    <row r="27" spans="1:9" s="15" customFormat="1">
      <c r="A27" s="10" t="s">
        <v>430</v>
      </c>
      <c r="B27" s="12">
        <v>245459</v>
      </c>
      <c r="C27" s="11"/>
      <c r="E27" s="16">
        <f>+IFERROR(VLOOKUP(A27,'[49]TB NEW'!$A$6:$P$714,7,0),0)</f>
        <v>0</v>
      </c>
      <c r="F27" s="16">
        <f>+IFERROR(VLOOKUP(A27,'[49]TB NEW'!$A$6:$P$714,10,0),0)</f>
        <v>0</v>
      </c>
      <c r="G27" s="17">
        <f t="shared" si="0"/>
        <v>245459</v>
      </c>
      <c r="H27" s="17">
        <f t="shared" si="0"/>
        <v>0</v>
      </c>
      <c r="I27" s="17">
        <f t="shared" si="1"/>
        <v>245459</v>
      </c>
    </row>
    <row r="28" spans="1:9" s="15" customFormat="1">
      <c r="A28" s="10" t="s">
        <v>431</v>
      </c>
      <c r="B28" s="11"/>
      <c r="C28" s="12">
        <v>48876.25</v>
      </c>
      <c r="E28" s="16">
        <f>+IFERROR(VLOOKUP(A28,'[49]TB NEW'!$A$6:$P$714,7,0),0)</f>
        <v>0</v>
      </c>
      <c r="F28" s="16">
        <f>+IFERROR(VLOOKUP(A28,'[49]TB NEW'!$A$6:$P$714,10,0),0)</f>
        <v>0</v>
      </c>
      <c r="G28" s="17">
        <f t="shared" si="0"/>
        <v>0</v>
      </c>
      <c r="H28" s="17">
        <f t="shared" si="0"/>
        <v>48876.25</v>
      </c>
      <c r="I28" s="17">
        <f t="shared" si="1"/>
        <v>48876.25</v>
      </c>
    </row>
    <row r="29" spans="1:9" s="15" customFormat="1">
      <c r="A29" s="10" t="s">
        <v>432</v>
      </c>
      <c r="B29" s="11"/>
      <c r="C29" s="12">
        <v>72000</v>
      </c>
      <c r="E29" s="16">
        <f>+IFERROR(VLOOKUP(A29,'[49]TB NEW'!$A$6:$P$714,7,0),0)</f>
        <v>0</v>
      </c>
      <c r="F29" s="16">
        <f>+IFERROR(VLOOKUP(A29,'[49]TB NEW'!$A$6:$P$714,10,0),0)</f>
        <v>0</v>
      </c>
      <c r="G29" s="17">
        <f t="shared" si="0"/>
        <v>0</v>
      </c>
      <c r="H29" s="17">
        <f t="shared" si="0"/>
        <v>72000</v>
      </c>
      <c r="I29" s="17">
        <f t="shared" si="1"/>
        <v>72000</v>
      </c>
    </row>
    <row r="30" spans="1:9" s="15" customFormat="1">
      <c r="A30" s="10" t="s">
        <v>433</v>
      </c>
      <c r="B30" s="12">
        <v>1450</v>
      </c>
      <c r="C30" s="11"/>
      <c r="E30" s="16">
        <f>+IFERROR(VLOOKUP(A30,'[49]TB NEW'!$A$6:$P$714,7,0),0)</f>
        <v>0</v>
      </c>
      <c r="F30" s="16">
        <f>+IFERROR(VLOOKUP(A30,'[49]TB NEW'!$A$6:$P$714,10,0),0)</f>
        <v>0</v>
      </c>
      <c r="G30" s="17">
        <f t="shared" si="0"/>
        <v>1450</v>
      </c>
      <c r="H30" s="17">
        <f t="shared" si="0"/>
        <v>0</v>
      </c>
      <c r="I30" s="17">
        <f t="shared" si="1"/>
        <v>1450</v>
      </c>
    </row>
    <row r="31" spans="1:9" s="15" customFormat="1">
      <c r="A31" s="10" t="s">
        <v>39</v>
      </c>
      <c r="B31" s="12">
        <v>14365</v>
      </c>
      <c r="C31" s="11"/>
      <c r="E31" s="16">
        <f>+IFERROR(VLOOKUP(A31,'[49]TB NEW'!$A$6:$P$714,7,0),0)</f>
        <v>3827</v>
      </c>
      <c r="F31" s="16">
        <f>+IFERROR(VLOOKUP(A31,'[49]TB NEW'!$A$6:$P$714,10,0),0)</f>
        <v>0</v>
      </c>
      <c r="G31" s="17">
        <f t="shared" si="0"/>
        <v>10538</v>
      </c>
      <c r="H31" s="17">
        <f t="shared" si="0"/>
        <v>0</v>
      </c>
      <c r="I31" s="17">
        <f t="shared" si="1"/>
        <v>10538</v>
      </c>
    </row>
    <row r="32" spans="1:9" s="15" customFormat="1">
      <c r="A32" s="10" t="s">
        <v>41</v>
      </c>
      <c r="B32" s="11"/>
      <c r="C32" s="12">
        <v>225000</v>
      </c>
      <c r="E32" s="16">
        <f>+IFERROR(VLOOKUP(A32,'[49]TB NEW'!$A$6:$P$714,7,0),0)</f>
        <v>0</v>
      </c>
      <c r="F32" s="16">
        <f>+IFERROR(VLOOKUP(A32,'[49]TB NEW'!$A$6:$P$714,10,0),0)</f>
        <v>221000</v>
      </c>
      <c r="G32" s="17">
        <f t="shared" si="0"/>
        <v>0</v>
      </c>
      <c r="H32" s="17">
        <f t="shared" si="0"/>
        <v>4000</v>
      </c>
      <c r="I32" s="17">
        <f t="shared" si="1"/>
        <v>4000</v>
      </c>
    </row>
    <row r="33" spans="1:9" s="15" customFormat="1">
      <c r="A33" s="10" t="s">
        <v>42</v>
      </c>
      <c r="B33" s="12">
        <v>320437.44</v>
      </c>
      <c r="C33" s="11"/>
      <c r="E33" s="16">
        <f>+IFERROR(VLOOKUP(A33,'[49]TB NEW'!$A$6:$P$714,7,0),0)</f>
        <v>2606</v>
      </c>
      <c r="F33" s="16">
        <f>+IFERROR(VLOOKUP(A33,'[49]TB NEW'!$A$6:$P$714,10,0),0)</f>
        <v>0</v>
      </c>
      <c r="G33" s="17">
        <f t="shared" si="0"/>
        <v>317831.44</v>
      </c>
      <c r="H33" s="17">
        <f t="shared" si="0"/>
        <v>0</v>
      </c>
      <c r="I33" s="17">
        <f t="shared" si="1"/>
        <v>317831.44</v>
      </c>
    </row>
    <row r="34" spans="1:9" s="15" customFormat="1">
      <c r="A34" s="10" t="s">
        <v>43</v>
      </c>
      <c r="B34" s="11"/>
      <c r="C34" s="12">
        <v>56666</v>
      </c>
      <c r="E34" s="16">
        <f>+IFERROR(VLOOKUP(A34,'[49]TB NEW'!$A$6:$P$714,7,0),0)</f>
        <v>0</v>
      </c>
      <c r="F34" s="16">
        <f>+IFERROR(VLOOKUP(A34,'[49]TB NEW'!$A$6:$P$714,10,0),0)</f>
        <v>72103.8</v>
      </c>
      <c r="G34" s="17">
        <f t="shared" si="0"/>
        <v>0</v>
      </c>
      <c r="H34" s="17">
        <f t="shared" si="0"/>
        <v>-15437.800000000003</v>
      </c>
      <c r="I34" s="17">
        <f t="shared" si="1"/>
        <v>-15437.800000000003</v>
      </c>
    </row>
    <row r="35" spans="1:9" s="15" customFormat="1">
      <c r="A35" s="10" t="s">
        <v>44</v>
      </c>
      <c r="B35" s="11"/>
      <c r="C35" s="12">
        <v>1000000</v>
      </c>
      <c r="E35" s="16">
        <f>+IFERROR(VLOOKUP(A35,'[49]TB NEW'!$A$6:$P$714,7,0),0)</f>
        <v>0</v>
      </c>
      <c r="F35" s="16">
        <f>+IFERROR(VLOOKUP(A35,'[49]TB NEW'!$A$6:$P$714,10,0),0)</f>
        <v>1093348</v>
      </c>
      <c r="G35" s="17">
        <f t="shared" si="0"/>
        <v>0</v>
      </c>
      <c r="H35" s="17">
        <f t="shared" si="0"/>
        <v>-93348</v>
      </c>
      <c r="I35" s="17">
        <f t="shared" si="1"/>
        <v>-93348</v>
      </c>
    </row>
    <row r="36" spans="1:9" s="15" customFormat="1">
      <c r="A36" s="10" t="s">
        <v>45</v>
      </c>
      <c r="B36" s="12">
        <v>495794.41</v>
      </c>
      <c r="C36" s="11"/>
      <c r="E36" s="16">
        <f>+IFERROR(VLOOKUP(A36,'[49]TB NEW'!$A$6:$P$714,7,0),0)</f>
        <v>474777.13</v>
      </c>
      <c r="F36" s="16">
        <f>+IFERROR(VLOOKUP(A36,'[49]TB NEW'!$A$6:$P$714,10,0),0)</f>
        <v>0</v>
      </c>
      <c r="G36" s="17">
        <f t="shared" si="0"/>
        <v>21017.27999999997</v>
      </c>
      <c r="H36" s="17">
        <f t="shared" si="0"/>
        <v>0</v>
      </c>
      <c r="I36" s="17">
        <f t="shared" si="1"/>
        <v>21017.27999999997</v>
      </c>
    </row>
    <row r="37" spans="1:9" s="15" customFormat="1">
      <c r="A37" s="10" t="s">
        <v>46</v>
      </c>
      <c r="B37" s="12">
        <v>50000</v>
      </c>
      <c r="C37" s="11"/>
      <c r="E37" s="16">
        <f>+IFERROR(VLOOKUP(A37,'[49]TB NEW'!$A$6:$P$714,7,0),0)</f>
        <v>132600</v>
      </c>
      <c r="F37" s="16">
        <f>+IFERROR(VLOOKUP(A37,'[49]TB NEW'!$A$6:$P$714,10,0),0)</f>
        <v>0</v>
      </c>
      <c r="G37" s="17">
        <f t="shared" si="0"/>
        <v>-82600</v>
      </c>
      <c r="H37" s="17">
        <f t="shared" si="0"/>
        <v>0</v>
      </c>
      <c r="I37" s="17">
        <f t="shared" si="1"/>
        <v>-82600</v>
      </c>
    </row>
    <row r="38" spans="1:9" s="15" customFormat="1">
      <c r="A38" s="10" t="s">
        <v>47</v>
      </c>
      <c r="B38" s="12">
        <v>146401</v>
      </c>
      <c r="C38" s="11"/>
      <c r="E38" s="16">
        <f>+IFERROR(VLOOKUP(A38,'[49]TB NEW'!$A$6:$P$714,7,0),0)</f>
        <v>185908</v>
      </c>
      <c r="F38" s="16">
        <f>+IFERROR(VLOOKUP(A38,'[49]TB NEW'!$A$6:$P$714,10,0),0)</f>
        <v>0</v>
      </c>
      <c r="G38" s="17">
        <f t="shared" si="0"/>
        <v>-39507</v>
      </c>
      <c r="H38" s="17">
        <f t="shared" si="0"/>
        <v>0</v>
      </c>
      <c r="I38" s="17">
        <f t="shared" si="1"/>
        <v>-39507</v>
      </c>
    </row>
    <row r="39" spans="1:9" s="15" customFormat="1">
      <c r="A39" s="10" t="s">
        <v>48</v>
      </c>
      <c r="B39" s="12">
        <v>293473.74</v>
      </c>
      <c r="C39" s="11"/>
      <c r="E39" s="16">
        <f>+IFERROR(VLOOKUP(A39,'[49]TB NEW'!$A$6:$P$714,7,0),0)</f>
        <v>140000</v>
      </c>
      <c r="F39" s="16">
        <f>+IFERROR(VLOOKUP(A39,'[49]TB NEW'!$A$6:$P$714,10,0),0)</f>
        <v>0</v>
      </c>
      <c r="G39" s="17">
        <f t="shared" si="0"/>
        <v>153473.74</v>
      </c>
      <c r="H39" s="17">
        <f t="shared" si="0"/>
        <v>0</v>
      </c>
      <c r="I39" s="17">
        <f t="shared" si="1"/>
        <v>153473.74</v>
      </c>
    </row>
    <row r="40" spans="1:9" s="15" customFormat="1">
      <c r="A40" s="10" t="s">
        <v>434</v>
      </c>
      <c r="B40" s="11"/>
      <c r="C40" s="12">
        <v>442500</v>
      </c>
      <c r="E40" s="16">
        <f>+IFERROR(VLOOKUP(A40,'[49]TB NEW'!$A$6:$P$714,7,0),0)</f>
        <v>0</v>
      </c>
      <c r="F40" s="16">
        <f>+IFERROR(VLOOKUP(A40,'[49]TB NEW'!$A$6:$P$714,10,0),0)</f>
        <v>0</v>
      </c>
      <c r="G40" s="17">
        <f t="shared" si="0"/>
        <v>0</v>
      </c>
      <c r="H40" s="17">
        <f t="shared" si="0"/>
        <v>442500</v>
      </c>
      <c r="I40" s="17">
        <f t="shared" si="1"/>
        <v>442500</v>
      </c>
    </row>
    <row r="41" spans="1:9" s="15" customFormat="1">
      <c r="A41" s="10" t="s">
        <v>49</v>
      </c>
      <c r="B41" s="11"/>
      <c r="C41" s="12">
        <v>18753</v>
      </c>
      <c r="E41" s="16">
        <f>+IFERROR(VLOOKUP(A41,'[49]TB NEW'!$A$6:$P$714,7,0),0)</f>
        <v>0</v>
      </c>
      <c r="F41" s="16">
        <f>+IFERROR(VLOOKUP(A41,'[49]TB NEW'!$A$6:$P$714,10,0),0)</f>
        <v>53563</v>
      </c>
      <c r="G41" s="17">
        <f t="shared" si="0"/>
        <v>0</v>
      </c>
      <c r="H41" s="17">
        <f t="shared" si="0"/>
        <v>-34810</v>
      </c>
      <c r="I41" s="17">
        <f t="shared" si="1"/>
        <v>-34810</v>
      </c>
    </row>
    <row r="42" spans="1:9" s="15" customFormat="1">
      <c r="A42" s="10" t="s">
        <v>435</v>
      </c>
      <c r="B42" s="11"/>
      <c r="C42" s="12">
        <v>107380</v>
      </c>
      <c r="E42" s="16">
        <f>+IFERROR(VLOOKUP(A42,'[49]TB NEW'!$A$6:$P$714,7,0),0)</f>
        <v>0</v>
      </c>
      <c r="F42" s="16">
        <f>+IFERROR(VLOOKUP(A42,'[49]TB NEW'!$A$6:$P$714,10,0),0)</f>
        <v>0</v>
      </c>
      <c r="G42" s="17">
        <f t="shared" si="0"/>
        <v>0</v>
      </c>
      <c r="H42" s="17">
        <f t="shared" si="0"/>
        <v>107380</v>
      </c>
      <c r="I42" s="17">
        <f t="shared" si="1"/>
        <v>107380</v>
      </c>
    </row>
    <row r="43" spans="1:9" s="15" customFormat="1">
      <c r="A43" s="10" t="s">
        <v>436</v>
      </c>
      <c r="B43" s="12">
        <v>2018054</v>
      </c>
      <c r="C43" s="11"/>
      <c r="E43" s="16">
        <f>+IFERROR(VLOOKUP(A43,'[49]TB NEW'!$A$6:$P$714,7,0),0)</f>
        <v>0</v>
      </c>
      <c r="F43" s="16">
        <f>+IFERROR(VLOOKUP(A43,'[49]TB NEW'!$A$6:$P$714,10,0),0)</f>
        <v>0</v>
      </c>
      <c r="G43" s="17">
        <f t="shared" si="0"/>
        <v>2018054</v>
      </c>
      <c r="H43" s="17">
        <f t="shared" si="0"/>
        <v>0</v>
      </c>
      <c r="I43" s="17">
        <f t="shared" si="1"/>
        <v>2018054</v>
      </c>
    </row>
    <row r="44" spans="1:9" s="15" customFormat="1">
      <c r="A44" s="10" t="s">
        <v>51</v>
      </c>
      <c r="B44" s="12">
        <v>3427004</v>
      </c>
      <c r="C44" s="11"/>
      <c r="E44" s="16">
        <f>+IFERROR(VLOOKUP(A44,'[49]TB NEW'!$A$6:$P$714,7,0),0)</f>
        <v>3586075</v>
      </c>
      <c r="F44" s="16">
        <f>+IFERROR(VLOOKUP(A44,'[49]TB NEW'!$A$6:$P$714,10,0),0)</f>
        <v>0</v>
      </c>
      <c r="G44" s="17">
        <f t="shared" si="0"/>
        <v>-159071</v>
      </c>
      <c r="H44" s="17">
        <f t="shared" si="0"/>
        <v>0</v>
      </c>
      <c r="I44" s="17">
        <f t="shared" si="1"/>
        <v>-159071</v>
      </c>
    </row>
    <row r="45" spans="1:9" s="15" customFormat="1">
      <c r="A45" s="10" t="s">
        <v>52</v>
      </c>
      <c r="B45" s="12">
        <v>3166</v>
      </c>
      <c r="C45" s="11"/>
      <c r="E45" s="16">
        <f>+IFERROR(VLOOKUP(A45,'[49]TB NEW'!$A$6:$P$714,7,0),0)</f>
        <v>3442</v>
      </c>
      <c r="F45" s="16">
        <f>+IFERROR(VLOOKUP(A45,'[49]TB NEW'!$A$6:$P$714,10,0),0)</f>
        <v>0</v>
      </c>
      <c r="G45" s="17">
        <f t="shared" si="0"/>
        <v>-276</v>
      </c>
      <c r="H45" s="17">
        <f t="shared" si="0"/>
        <v>0</v>
      </c>
      <c r="I45" s="17">
        <f t="shared" si="1"/>
        <v>-276</v>
      </c>
    </row>
    <row r="46" spans="1:9" s="15" customFormat="1">
      <c r="A46" s="10" t="s">
        <v>53</v>
      </c>
      <c r="B46" s="12">
        <v>55036932.399999999</v>
      </c>
      <c r="C46" s="11"/>
      <c r="E46" s="16">
        <f>+IFERROR(VLOOKUP(A46,'[49]TB NEW'!$A$6:$P$714,7,0),0)</f>
        <v>56016203.549999997</v>
      </c>
      <c r="F46" s="16">
        <f>+IFERROR(VLOOKUP(A46,'[49]TB NEW'!$A$6:$P$714,10,0),0)</f>
        <v>0</v>
      </c>
      <c r="G46" s="17">
        <f t="shared" si="0"/>
        <v>-979271.14999999851</v>
      </c>
      <c r="H46" s="17">
        <f t="shared" si="0"/>
        <v>0</v>
      </c>
      <c r="I46" s="17">
        <f t="shared" si="1"/>
        <v>-979271.14999999851</v>
      </c>
    </row>
    <row r="47" spans="1:9" s="15" customFormat="1">
      <c r="A47" s="10" t="s">
        <v>54</v>
      </c>
      <c r="B47" s="11"/>
      <c r="C47" s="12">
        <v>20413989</v>
      </c>
      <c r="E47" s="16">
        <f>+IFERROR(VLOOKUP(A47,'[49]TB NEW'!$A$6:$P$714,7,0),0)</f>
        <v>0</v>
      </c>
      <c r="F47" s="16">
        <f>+IFERROR(VLOOKUP(A47,'[49]TB NEW'!$A$6:$P$714,10,0),0)</f>
        <v>20413989</v>
      </c>
      <c r="G47" s="17">
        <f t="shared" si="0"/>
        <v>0</v>
      </c>
      <c r="H47" s="17">
        <f t="shared" si="0"/>
        <v>0</v>
      </c>
      <c r="I47" s="17">
        <f t="shared" si="1"/>
        <v>0</v>
      </c>
    </row>
    <row r="48" spans="1:9" s="15" customFormat="1">
      <c r="A48" s="10" t="s">
        <v>55</v>
      </c>
      <c r="B48" s="12">
        <v>581423</v>
      </c>
      <c r="C48" s="11"/>
      <c r="E48" s="16">
        <f>+IFERROR(VLOOKUP(A48,'[49]TB NEW'!$A$6:$P$714,7,0),0)</f>
        <v>373855</v>
      </c>
      <c r="F48" s="16">
        <f>+IFERROR(VLOOKUP(A48,'[49]TB NEW'!$A$6:$P$714,10,0),0)</f>
        <v>0</v>
      </c>
      <c r="G48" s="17">
        <f t="shared" si="0"/>
        <v>207568</v>
      </c>
      <c r="H48" s="17">
        <f t="shared" si="0"/>
        <v>0</v>
      </c>
      <c r="I48" s="17">
        <f t="shared" si="1"/>
        <v>207568</v>
      </c>
    </row>
    <row r="49" spans="1:9" s="15" customFormat="1">
      <c r="A49" s="10" t="s">
        <v>57</v>
      </c>
      <c r="B49" s="12">
        <v>205186</v>
      </c>
      <c r="C49" s="11"/>
      <c r="E49" s="16">
        <f>+IFERROR(VLOOKUP(A49,'[49]TB NEW'!$A$6:$P$714,7,0),0)</f>
        <v>95134</v>
      </c>
      <c r="F49" s="16">
        <f>+IFERROR(VLOOKUP(A49,'[49]TB NEW'!$A$6:$P$714,10,0),0)</f>
        <v>0</v>
      </c>
      <c r="G49" s="17">
        <f t="shared" si="0"/>
        <v>110052</v>
      </c>
      <c r="H49" s="17">
        <f t="shared" si="0"/>
        <v>0</v>
      </c>
      <c r="I49" s="17">
        <f t="shared" si="1"/>
        <v>110052</v>
      </c>
    </row>
    <row r="50" spans="1:9" s="15" customFormat="1">
      <c r="A50" s="10" t="s">
        <v>58</v>
      </c>
      <c r="B50" s="12">
        <v>93095</v>
      </c>
      <c r="C50" s="11"/>
      <c r="E50" s="16">
        <f>+IFERROR(VLOOKUP(A50,'[49]TB NEW'!$A$6:$P$714,7,0),0)</f>
        <v>64762</v>
      </c>
      <c r="F50" s="16">
        <f>+IFERROR(VLOOKUP(A50,'[49]TB NEW'!$A$6:$P$714,10,0),0)</f>
        <v>0</v>
      </c>
      <c r="G50" s="17">
        <f t="shared" si="0"/>
        <v>28333</v>
      </c>
      <c r="H50" s="17">
        <f t="shared" si="0"/>
        <v>0</v>
      </c>
      <c r="I50" s="17">
        <f t="shared" si="1"/>
        <v>28333</v>
      </c>
    </row>
    <row r="51" spans="1:9" s="15" customFormat="1">
      <c r="A51" s="10" t="s">
        <v>59</v>
      </c>
      <c r="B51" s="12">
        <v>83523</v>
      </c>
      <c r="C51" s="11"/>
      <c r="E51" s="16">
        <f>+IFERROR(VLOOKUP(A51,'[49]TB NEW'!$A$6:$P$714,7,0),0)</f>
        <v>234166</v>
      </c>
      <c r="F51" s="16">
        <f>+IFERROR(VLOOKUP(A51,'[49]TB NEW'!$A$6:$P$714,10,0),0)</f>
        <v>0</v>
      </c>
      <c r="G51" s="17">
        <f t="shared" si="0"/>
        <v>-150643</v>
      </c>
      <c r="H51" s="17">
        <f t="shared" si="0"/>
        <v>0</v>
      </c>
      <c r="I51" s="17">
        <f t="shared" si="1"/>
        <v>-150643</v>
      </c>
    </row>
    <row r="52" spans="1:9" s="15" customFormat="1">
      <c r="A52" s="10" t="s">
        <v>437</v>
      </c>
      <c r="B52" s="11"/>
      <c r="C52" s="12">
        <v>254778.81</v>
      </c>
      <c r="E52" s="16">
        <f>+IFERROR(VLOOKUP(A52,'[49]TB NEW'!$A$6:$P$714,7,0),0)</f>
        <v>0</v>
      </c>
      <c r="F52" s="16">
        <f>+IFERROR(VLOOKUP(A52,'[49]TB NEW'!$A$6:$P$714,10,0),0)</f>
        <v>0</v>
      </c>
      <c r="G52" s="17">
        <f t="shared" si="0"/>
        <v>0</v>
      </c>
      <c r="H52" s="17">
        <f t="shared" si="0"/>
        <v>254778.81</v>
      </c>
      <c r="I52" s="17">
        <f t="shared" si="1"/>
        <v>254778.81</v>
      </c>
    </row>
    <row r="53" spans="1:9" s="15" customFormat="1">
      <c r="A53" s="10" t="s">
        <v>438</v>
      </c>
      <c r="B53" s="11"/>
      <c r="C53" s="12">
        <v>510288.85</v>
      </c>
      <c r="E53" s="16">
        <f>+IFERROR(VLOOKUP(A53,'[49]TB NEW'!$A$6:$P$714,7,0),0)</f>
        <v>0</v>
      </c>
      <c r="F53" s="16">
        <f>+IFERROR(VLOOKUP(A53,'[49]TB NEW'!$A$6:$P$714,10,0),0)</f>
        <v>0</v>
      </c>
      <c r="G53" s="17">
        <f t="shared" si="0"/>
        <v>0</v>
      </c>
      <c r="H53" s="17">
        <f t="shared" si="0"/>
        <v>510288.85</v>
      </c>
      <c r="I53" s="17">
        <f t="shared" si="1"/>
        <v>510288.85</v>
      </c>
    </row>
    <row r="54" spans="1:9" s="15" customFormat="1">
      <c r="A54" s="10" t="s">
        <v>439</v>
      </c>
      <c r="B54" s="11"/>
      <c r="C54" s="12">
        <v>35042</v>
      </c>
      <c r="E54" s="16">
        <f>+IFERROR(VLOOKUP(A54,'[49]TB NEW'!$A$6:$P$714,7,0),0)</f>
        <v>0</v>
      </c>
      <c r="F54" s="16">
        <f>+IFERROR(VLOOKUP(A54,'[49]TB NEW'!$A$6:$P$714,10,0),0)</f>
        <v>0</v>
      </c>
      <c r="G54" s="17">
        <f t="shared" si="0"/>
        <v>0</v>
      </c>
      <c r="H54" s="17">
        <f t="shared" si="0"/>
        <v>35042</v>
      </c>
      <c r="I54" s="17">
        <f t="shared" si="1"/>
        <v>35042</v>
      </c>
    </row>
    <row r="55" spans="1:9" s="15" customFormat="1">
      <c r="A55" s="10" t="s">
        <v>63</v>
      </c>
      <c r="B55" s="11"/>
      <c r="C55" s="12">
        <v>309282</v>
      </c>
      <c r="E55" s="16">
        <f>+IFERROR(VLOOKUP(A55,'[49]TB NEW'!$A$6:$P$714,7,0),0)</f>
        <v>0</v>
      </c>
      <c r="F55" s="16">
        <f>+IFERROR(VLOOKUP(A55,'[49]TB NEW'!$A$6:$P$714,10,0),0)</f>
        <v>173652</v>
      </c>
      <c r="G55" s="17">
        <f t="shared" si="0"/>
        <v>0</v>
      </c>
      <c r="H55" s="17">
        <f t="shared" si="0"/>
        <v>135630</v>
      </c>
      <c r="I55" s="17">
        <f t="shared" si="1"/>
        <v>135630</v>
      </c>
    </row>
    <row r="56" spans="1:9" s="15" customFormat="1">
      <c r="A56" s="10" t="s">
        <v>64</v>
      </c>
      <c r="B56" s="12">
        <v>1406</v>
      </c>
      <c r="C56" s="11"/>
      <c r="E56" s="16">
        <f>+IFERROR(VLOOKUP(A56,'[49]TB NEW'!$A$6:$P$714,7,0),0)</f>
        <v>2655823</v>
      </c>
      <c r="F56" s="16">
        <f>+IFERROR(VLOOKUP(A56,'[49]TB NEW'!$A$6:$P$714,10,0),0)</f>
        <v>0</v>
      </c>
      <c r="G56" s="17">
        <f t="shared" si="0"/>
        <v>-2654417</v>
      </c>
      <c r="H56" s="17">
        <f t="shared" si="0"/>
        <v>0</v>
      </c>
      <c r="I56" s="17">
        <f t="shared" si="1"/>
        <v>-2654417</v>
      </c>
    </row>
    <row r="57" spans="1:9" s="15" customFormat="1">
      <c r="A57" s="10" t="s">
        <v>65</v>
      </c>
      <c r="B57" s="12">
        <v>12547062</v>
      </c>
      <c r="C57" s="11"/>
      <c r="E57" s="16">
        <f>+IFERROR(VLOOKUP(A57,'[49]TB NEW'!$A$6:$P$714,7,0),0)</f>
        <v>4304700</v>
      </c>
      <c r="F57" s="16">
        <f>+IFERROR(VLOOKUP(A57,'[49]TB NEW'!$A$6:$P$714,10,0),0)</f>
        <v>0</v>
      </c>
      <c r="G57" s="17">
        <f t="shared" si="0"/>
        <v>8242362</v>
      </c>
      <c r="H57" s="17">
        <f t="shared" si="0"/>
        <v>0</v>
      </c>
      <c r="I57" s="17">
        <f t="shared" si="1"/>
        <v>8242362</v>
      </c>
    </row>
    <row r="58" spans="1:9" s="15" customFormat="1">
      <c r="A58" s="10" t="s">
        <v>440</v>
      </c>
      <c r="B58" s="11"/>
      <c r="C58" s="12">
        <v>174048</v>
      </c>
      <c r="E58" s="16">
        <f>+IFERROR(VLOOKUP(A58,'[49]TB NEW'!$A$6:$P$714,7,0),0)</f>
        <v>0</v>
      </c>
      <c r="F58" s="16">
        <f>+IFERROR(VLOOKUP(A58,'[49]TB NEW'!$A$6:$P$714,10,0),0)</f>
        <v>0</v>
      </c>
      <c r="G58" s="17">
        <f t="shared" si="0"/>
        <v>0</v>
      </c>
      <c r="H58" s="17">
        <f t="shared" si="0"/>
        <v>174048</v>
      </c>
      <c r="I58" s="17">
        <f t="shared" si="1"/>
        <v>174048</v>
      </c>
    </row>
    <row r="59" spans="1:9" s="15" customFormat="1">
      <c r="A59" s="10" t="s">
        <v>67</v>
      </c>
      <c r="B59" s="12">
        <v>46318754.25</v>
      </c>
      <c r="C59" s="11"/>
      <c r="E59" s="16">
        <f>+IFERROR(VLOOKUP(A59,'[49]TB NEW'!$A$6:$P$714,7,0),0)</f>
        <v>41533028.75</v>
      </c>
      <c r="F59" s="16">
        <f>+IFERROR(VLOOKUP(A59,'[49]TB NEW'!$A$6:$P$714,10,0),0)</f>
        <v>0</v>
      </c>
      <c r="G59" s="17">
        <f t="shared" si="0"/>
        <v>4785725.5</v>
      </c>
      <c r="H59" s="17">
        <f t="shared" si="0"/>
        <v>0</v>
      </c>
      <c r="I59" s="17">
        <f t="shared" si="1"/>
        <v>4785725.5</v>
      </c>
    </row>
    <row r="60" spans="1:9" s="15" customFormat="1">
      <c r="A60" s="10" t="s">
        <v>68</v>
      </c>
      <c r="B60" s="12">
        <v>106645</v>
      </c>
      <c r="C60" s="11"/>
      <c r="E60" s="16">
        <f>+IFERROR(VLOOKUP(A60,'[49]TB NEW'!$A$6:$P$714,7,0),0)</f>
        <v>886060</v>
      </c>
      <c r="F60" s="16">
        <f>+IFERROR(VLOOKUP(A60,'[49]TB NEW'!$A$6:$P$714,10,0),0)</f>
        <v>0</v>
      </c>
      <c r="G60" s="17">
        <f t="shared" si="0"/>
        <v>-779415</v>
      </c>
      <c r="H60" s="17">
        <f t="shared" si="0"/>
        <v>0</v>
      </c>
      <c r="I60" s="17">
        <f t="shared" si="1"/>
        <v>-779415</v>
      </c>
    </row>
    <row r="61" spans="1:9" s="15" customFormat="1">
      <c r="A61" s="10" t="s">
        <v>69</v>
      </c>
      <c r="B61" s="11"/>
      <c r="C61" s="12">
        <v>2404941</v>
      </c>
      <c r="E61" s="16">
        <f>+IFERROR(VLOOKUP(A61,'[49]TB NEW'!$A$6:$P$714,7,0),0)</f>
        <v>780445</v>
      </c>
      <c r="F61" s="16">
        <f>+IFERROR(VLOOKUP(A61,'[49]TB NEW'!$A$6:$P$714,10,0),0)</f>
        <v>0</v>
      </c>
      <c r="G61" s="17">
        <f t="shared" si="0"/>
        <v>-780445</v>
      </c>
      <c r="H61" s="17">
        <f t="shared" si="0"/>
        <v>2404941</v>
      </c>
      <c r="I61" s="17">
        <f t="shared" si="1"/>
        <v>1624496</v>
      </c>
    </row>
    <row r="62" spans="1:9" s="15" customFormat="1">
      <c r="A62" s="10" t="s">
        <v>70</v>
      </c>
      <c r="B62" s="12">
        <v>36176357.159999996</v>
      </c>
      <c r="C62" s="11"/>
      <c r="E62" s="16">
        <f>+IFERROR(VLOOKUP(A62,'[49]TB NEW'!$A$6:$P$714,7,0),0)</f>
        <v>48494308.600000001</v>
      </c>
      <c r="F62" s="16">
        <f>+IFERROR(VLOOKUP(A62,'[49]TB NEW'!$A$6:$P$714,10,0),0)</f>
        <v>0</v>
      </c>
      <c r="G62" s="17">
        <f t="shared" si="0"/>
        <v>-12317951.440000005</v>
      </c>
      <c r="H62" s="17">
        <f t="shared" si="0"/>
        <v>0</v>
      </c>
      <c r="I62" s="17">
        <f t="shared" si="1"/>
        <v>-12317951.440000005</v>
      </c>
    </row>
    <row r="63" spans="1:9" s="15" customFormat="1">
      <c r="A63" s="10" t="s">
        <v>71</v>
      </c>
      <c r="B63" s="12">
        <v>281138</v>
      </c>
      <c r="C63" s="11"/>
      <c r="E63" s="16">
        <f>+IFERROR(VLOOKUP(A63,'[49]TB NEW'!$A$6:$P$714,7,0),0)</f>
        <v>219361</v>
      </c>
      <c r="F63" s="16">
        <f>+IFERROR(VLOOKUP(A63,'[49]TB NEW'!$A$6:$P$714,10,0),0)</f>
        <v>0</v>
      </c>
      <c r="G63" s="17">
        <f t="shared" si="0"/>
        <v>61777</v>
      </c>
      <c r="H63" s="17">
        <f t="shared" si="0"/>
        <v>0</v>
      </c>
      <c r="I63" s="17">
        <f t="shared" si="1"/>
        <v>61777</v>
      </c>
    </row>
    <row r="64" spans="1:9" s="15" customFormat="1">
      <c r="A64" s="10" t="s">
        <v>72</v>
      </c>
      <c r="B64" s="12">
        <v>539575</v>
      </c>
      <c r="C64" s="11"/>
      <c r="E64" s="16">
        <f>+IFERROR(VLOOKUP(A64,'[49]TB NEW'!$A$6:$P$714,7,0),0)</f>
        <v>923225</v>
      </c>
      <c r="F64" s="16">
        <f>+IFERROR(VLOOKUP(A64,'[49]TB NEW'!$A$6:$P$714,10,0),0)</f>
        <v>0</v>
      </c>
      <c r="G64" s="17">
        <f t="shared" si="0"/>
        <v>-383650</v>
      </c>
      <c r="H64" s="17">
        <f t="shared" si="0"/>
        <v>0</v>
      </c>
      <c r="I64" s="17">
        <f t="shared" si="1"/>
        <v>-383650</v>
      </c>
    </row>
    <row r="65" spans="1:9" s="15" customFormat="1">
      <c r="A65" s="10" t="s">
        <v>73</v>
      </c>
      <c r="B65" s="12">
        <v>46577347</v>
      </c>
      <c r="C65" s="11"/>
      <c r="E65" s="16">
        <f>+IFERROR(VLOOKUP(A65,'[49]TB NEW'!$A$6:$P$714,7,0),0)</f>
        <v>44460025.039999999</v>
      </c>
      <c r="F65" s="16">
        <f>+IFERROR(VLOOKUP(A65,'[49]TB NEW'!$A$6:$P$714,10,0),0)</f>
        <v>0</v>
      </c>
      <c r="G65" s="17">
        <f t="shared" si="0"/>
        <v>2117321.9600000009</v>
      </c>
      <c r="H65" s="17">
        <f t="shared" si="0"/>
        <v>0</v>
      </c>
      <c r="I65" s="17">
        <f t="shared" si="1"/>
        <v>2117321.9600000009</v>
      </c>
    </row>
    <row r="66" spans="1:9" s="15" customFormat="1">
      <c r="A66" s="10" t="s">
        <v>75</v>
      </c>
      <c r="B66" s="12">
        <v>3396669</v>
      </c>
      <c r="C66" s="11"/>
      <c r="E66" s="16">
        <f>+IFERROR(VLOOKUP(A66,'[49]TB NEW'!$A$6:$P$714,7,0),0)</f>
        <v>1723504</v>
      </c>
      <c r="F66" s="16">
        <f>+IFERROR(VLOOKUP(A66,'[49]TB NEW'!$A$6:$P$714,10,0),0)</f>
        <v>0</v>
      </c>
      <c r="G66" s="17">
        <f t="shared" si="0"/>
        <v>1673165</v>
      </c>
      <c r="H66" s="17">
        <f t="shared" si="0"/>
        <v>0</v>
      </c>
      <c r="I66" s="17">
        <f t="shared" si="1"/>
        <v>1673165</v>
      </c>
    </row>
    <row r="67" spans="1:9" s="15" customFormat="1">
      <c r="A67" s="10" t="s">
        <v>76</v>
      </c>
      <c r="B67" s="12">
        <v>1057200.7</v>
      </c>
      <c r="C67" s="11"/>
      <c r="E67" s="16">
        <f>+IFERROR(VLOOKUP(A67,'[49]TB NEW'!$A$6:$P$714,7,0),0)</f>
        <v>1057200.7</v>
      </c>
      <c r="F67" s="16">
        <f>+IFERROR(VLOOKUP(A67,'[49]TB NEW'!$A$6:$P$714,10,0),0)</f>
        <v>0</v>
      </c>
      <c r="G67" s="17">
        <f t="shared" si="0"/>
        <v>0</v>
      </c>
      <c r="H67" s="17">
        <f t="shared" si="0"/>
        <v>0</v>
      </c>
      <c r="I67" s="17">
        <f t="shared" si="1"/>
        <v>0</v>
      </c>
    </row>
    <row r="68" spans="1:9" s="15" customFormat="1">
      <c r="A68" s="10" t="s">
        <v>77</v>
      </c>
      <c r="B68" s="12">
        <v>71000</v>
      </c>
      <c r="C68" s="11"/>
      <c r="E68" s="16">
        <f>+IFERROR(VLOOKUP(A68,'[49]TB NEW'!$A$6:$P$714,7,0),0)</f>
        <v>7000</v>
      </c>
      <c r="F68" s="16">
        <f>+IFERROR(VLOOKUP(A68,'[49]TB NEW'!$A$6:$P$714,10,0),0)</f>
        <v>0</v>
      </c>
      <c r="G68" s="17">
        <f t="shared" si="0"/>
        <v>64000</v>
      </c>
      <c r="H68" s="17">
        <f t="shared" si="0"/>
        <v>0</v>
      </c>
      <c r="I68" s="17">
        <f t="shared" si="1"/>
        <v>64000</v>
      </c>
    </row>
    <row r="69" spans="1:9" s="15" customFormat="1">
      <c r="A69" s="10" t="s">
        <v>78</v>
      </c>
      <c r="B69" s="12">
        <v>42915.89</v>
      </c>
      <c r="C69" s="11"/>
      <c r="E69" s="16">
        <f>+IFERROR(VLOOKUP(A69,'[49]TB NEW'!$A$6:$P$714,7,0),0)</f>
        <v>42915.89</v>
      </c>
      <c r="F69" s="16">
        <f>+IFERROR(VLOOKUP(A69,'[49]TB NEW'!$A$6:$P$714,10,0),0)</f>
        <v>0</v>
      </c>
      <c r="G69" s="17">
        <f t="shared" si="0"/>
        <v>0</v>
      </c>
      <c r="H69" s="17">
        <f t="shared" si="0"/>
        <v>0</v>
      </c>
      <c r="I69" s="17">
        <f t="shared" si="1"/>
        <v>0</v>
      </c>
    </row>
    <row r="70" spans="1:9" s="15" customFormat="1">
      <c r="A70" s="10" t="s">
        <v>79</v>
      </c>
      <c r="B70" s="11"/>
      <c r="C70" s="12">
        <v>34626</v>
      </c>
      <c r="E70" s="16">
        <f>+IFERROR(VLOOKUP(A70,'[49]TB NEW'!$A$6:$P$714,7,0),0)</f>
        <v>0</v>
      </c>
      <c r="F70" s="16">
        <f>+IFERROR(VLOOKUP(A70,'[49]TB NEW'!$A$6:$P$714,10,0),0)</f>
        <v>21838</v>
      </c>
      <c r="G70" s="17">
        <f t="shared" si="0"/>
        <v>0</v>
      </c>
      <c r="H70" s="17">
        <f t="shared" si="0"/>
        <v>12788</v>
      </c>
      <c r="I70" s="17">
        <f t="shared" si="1"/>
        <v>12788</v>
      </c>
    </row>
    <row r="71" spans="1:9" s="15" customFormat="1">
      <c r="A71" s="10" t="s">
        <v>80</v>
      </c>
      <c r="B71" s="11"/>
      <c r="C71" s="12">
        <v>186660</v>
      </c>
      <c r="E71" s="16">
        <f>+IFERROR(VLOOKUP(A71,'[49]TB NEW'!$A$6:$P$714,7,0),0)</f>
        <v>0</v>
      </c>
      <c r="F71" s="16">
        <f>+IFERROR(VLOOKUP(A71,'[49]TB NEW'!$A$6:$P$714,10,0),0)</f>
        <v>184366</v>
      </c>
      <c r="G71" s="17">
        <f t="shared" si="0"/>
        <v>0</v>
      </c>
      <c r="H71" s="17">
        <f t="shared" si="0"/>
        <v>2294</v>
      </c>
      <c r="I71" s="17">
        <f t="shared" si="1"/>
        <v>2294</v>
      </c>
    </row>
    <row r="72" spans="1:9" s="15" customFormat="1">
      <c r="A72" s="10" t="s">
        <v>81</v>
      </c>
      <c r="B72" s="12">
        <v>52350</v>
      </c>
      <c r="C72" s="11"/>
      <c r="E72" s="16">
        <f>+IFERROR(VLOOKUP(A72,'[49]TB NEW'!$A$6:$P$714,7,0),0)</f>
        <v>28640</v>
      </c>
      <c r="F72" s="16">
        <f>+IFERROR(VLOOKUP(A72,'[49]TB NEW'!$A$6:$P$714,10,0),0)</f>
        <v>0</v>
      </c>
      <c r="G72" s="17">
        <f t="shared" si="0"/>
        <v>23710</v>
      </c>
      <c r="H72" s="17">
        <f t="shared" si="0"/>
        <v>0</v>
      </c>
      <c r="I72" s="17">
        <f t="shared" si="1"/>
        <v>23710</v>
      </c>
    </row>
    <row r="73" spans="1:9" s="15" customFormat="1">
      <c r="A73" s="10" t="s">
        <v>82</v>
      </c>
      <c r="B73" s="12">
        <v>66840</v>
      </c>
      <c r="C73" s="11"/>
      <c r="E73" s="16">
        <f>+IFERROR(VLOOKUP(A73,'[49]TB NEW'!$A$6:$P$714,7,0),0)</f>
        <v>45845</v>
      </c>
      <c r="F73" s="16">
        <f>+IFERROR(VLOOKUP(A73,'[49]TB NEW'!$A$6:$P$714,10,0),0)</f>
        <v>0</v>
      </c>
      <c r="G73" s="17">
        <f t="shared" si="0"/>
        <v>20995</v>
      </c>
      <c r="H73" s="17">
        <f t="shared" si="0"/>
        <v>0</v>
      </c>
      <c r="I73" s="17">
        <f t="shared" si="1"/>
        <v>20995</v>
      </c>
    </row>
    <row r="74" spans="1:9" s="15" customFormat="1">
      <c r="A74" s="10" t="s">
        <v>84</v>
      </c>
      <c r="B74" s="12">
        <v>78396.600000000006</v>
      </c>
      <c r="C74" s="11"/>
      <c r="E74" s="16">
        <f>+IFERROR(VLOOKUP(A74,'[49]TB NEW'!$A$6:$P$714,7,0),0)</f>
        <v>60454</v>
      </c>
      <c r="F74" s="16">
        <f>+IFERROR(VLOOKUP(A74,'[49]TB NEW'!$A$6:$P$714,10,0),0)</f>
        <v>0</v>
      </c>
      <c r="G74" s="17">
        <f t="shared" si="0"/>
        <v>17942.600000000006</v>
      </c>
      <c r="H74" s="17">
        <f t="shared" si="0"/>
        <v>0</v>
      </c>
      <c r="I74" s="17">
        <f t="shared" si="1"/>
        <v>17942.600000000006</v>
      </c>
    </row>
    <row r="75" spans="1:9" s="15" customFormat="1">
      <c r="A75" s="10" t="s">
        <v>441</v>
      </c>
      <c r="B75" s="12">
        <v>91098</v>
      </c>
      <c r="C75" s="11"/>
      <c r="E75" s="16">
        <f>+IFERROR(VLOOKUP(A75,'[49]TB NEW'!$A$6:$P$714,7,0),0)</f>
        <v>0</v>
      </c>
      <c r="F75" s="16">
        <f>+IFERROR(VLOOKUP(A75,'[49]TB NEW'!$A$6:$P$714,10,0),0)</f>
        <v>0</v>
      </c>
      <c r="G75" s="17">
        <f t="shared" ref="G75:H138" si="2">+B75-E75</f>
        <v>91098</v>
      </c>
      <c r="H75" s="17">
        <f t="shared" si="2"/>
        <v>0</v>
      </c>
      <c r="I75" s="17">
        <f t="shared" ref="I75:I138" si="3">+G75+H75</f>
        <v>91098</v>
      </c>
    </row>
    <row r="76" spans="1:9" s="15" customFormat="1">
      <c r="A76" s="10" t="s">
        <v>442</v>
      </c>
      <c r="B76" s="12">
        <v>2500</v>
      </c>
      <c r="C76" s="11"/>
      <c r="E76" s="16">
        <f>+IFERROR(VLOOKUP(A76,'[49]TB NEW'!$A$6:$P$714,7,0),0)</f>
        <v>0</v>
      </c>
      <c r="F76" s="16">
        <f>+IFERROR(VLOOKUP(A76,'[49]TB NEW'!$A$6:$P$714,10,0),0)</f>
        <v>0</v>
      </c>
      <c r="G76" s="17">
        <f t="shared" si="2"/>
        <v>2500</v>
      </c>
      <c r="H76" s="17">
        <f t="shared" si="2"/>
        <v>0</v>
      </c>
      <c r="I76" s="17">
        <f t="shared" si="3"/>
        <v>2500</v>
      </c>
    </row>
    <row r="77" spans="1:9" s="15" customFormat="1">
      <c r="A77" s="10" t="s">
        <v>443</v>
      </c>
      <c r="B77" s="12">
        <v>1240241</v>
      </c>
      <c r="C77" s="11"/>
      <c r="E77" s="16">
        <f>+IFERROR(VLOOKUP(A77,'[49]TB NEW'!$A$6:$P$714,7,0),0)</f>
        <v>0</v>
      </c>
      <c r="F77" s="16">
        <f>+IFERROR(VLOOKUP(A77,'[49]TB NEW'!$A$6:$P$714,10,0),0)</f>
        <v>0</v>
      </c>
      <c r="G77" s="17">
        <f t="shared" si="2"/>
        <v>1240241</v>
      </c>
      <c r="H77" s="17">
        <f t="shared" si="2"/>
        <v>0</v>
      </c>
      <c r="I77" s="17">
        <f t="shared" si="3"/>
        <v>1240241</v>
      </c>
    </row>
    <row r="78" spans="1:9" s="15" customFormat="1">
      <c r="A78" s="10" t="s">
        <v>444</v>
      </c>
      <c r="B78" s="12">
        <v>1730730</v>
      </c>
      <c r="C78" s="11"/>
      <c r="E78" s="16">
        <f>+IFERROR(VLOOKUP(A78,'[49]TB NEW'!$A$6:$P$714,7,0),0)</f>
        <v>0</v>
      </c>
      <c r="F78" s="16">
        <f>+IFERROR(VLOOKUP(A78,'[49]TB NEW'!$A$6:$P$714,10,0),0)</f>
        <v>0</v>
      </c>
      <c r="G78" s="17">
        <f t="shared" si="2"/>
        <v>1730730</v>
      </c>
      <c r="H78" s="17">
        <f t="shared" si="2"/>
        <v>0</v>
      </c>
      <c r="I78" s="17">
        <f t="shared" si="3"/>
        <v>1730730</v>
      </c>
    </row>
    <row r="79" spans="1:9" s="15" customFormat="1">
      <c r="A79" s="10" t="s">
        <v>88</v>
      </c>
      <c r="B79" s="11"/>
      <c r="C79" s="12">
        <v>24184943</v>
      </c>
      <c r="E79" s="16">
        <f>+IFERROR(VLOOKUP(A79,'[49]TB NEW'!$A$6:$P$714,7,0),0)</f>
        <v>0</v>
      </c>
      <c r="F79" s="16">
        <f>+IFERROR(VLOOKUP(A79,'[49]TB NEW'!$A$6:$P$714,10,0),0)</f>
        <v>20113961</v>
      </c>
      <c r="G79" s="17">
        <f t="shared" si="2"/>
        <v>0</v>
      </c>
      <c r="H79" s="17">
        <f t="shared" si="2"/>
        <v>4070982</v>
      </c>
      <c r="I79" s="17">
        <f t="shared" si="3"/>
        <v>4070982</v>
      </c>
    </row>
    <row r="80" spans="1:9" s="15" customFormat="1">
      <c r="A80" s="10" t="s">
        <v>89</v>
      </c>
      <c r="B80" s="12">
        <v>1137100</v>
      </c>
      <c r="C80" s="11"/>
      <c r="E80" s="16">
        <f>+IFERROR(VLOOKUP(A80,'[49]TB NEW'!$A$6:$P$714,7,0),0)</f>
        <v>1137100</v>
      </c>
      <c r="F80" s="16">
        <f>+IFERROR(VLOOKUP(A80,'[49]TB NEW'!$A$6:$P$714,10,0),0)</f>
        <v>0</v>
      </c>
      <c r="G80" s="17">
        <f t="shared" si="2"/>
        <v>0</v>
      </c>
      <c r="H80" s="17">
        <f t="shared" si="2"/>
        <v>0</v>
      </c>
      <c r="I80" s="17">
        <f t="shared" si="3"/>
        <v>0</v>
      </c>
    </row>
    <row r="81" spans="1:10" s="15" customFormat="1">
      <c r="A81" s="10" t="s">
        <v>90</v>
      </c>
      <c r="B81" s="12">
        <v>6800</v>
      </c>
      <c r="C81" s="11"/>
      <c r="E81" s="16">
        <f>+IFERROR(VLOOKUP(A81,'[49]TB NEW'!$A$6:$P$714,7,0),0)</f>
        <v>6800</v>
      </c>
      <c r="F81" s="16">
        <f>+IFERROR(VLOOKUP(A81,'[49]TB NEW'!$A$6:$P$714,10,0),0)</f>
        <v>0</v>
      </c>
      <c r="G81" s="17">
        <f t="shared" si="2"/>
        <v>0</v>
      </c>
      <c r="H81" s="17">
        <f t="shared" si="2"/>
        <v>0</v>
      </c>
      <c r="I81" s="17">
        <f t="shared" si="3"/>
        <v>0</v>
      </c>
    </row>
    <row r="82" spans="1:10" s="15" customFormat="1">
      <c r="A82" s="10" t="s">
        <v>445</v>
      </c>
      <c r="B82" s="12">
        <v>414273</v>
      </c>
      <c r="C82" s="11"/>
      <c r="E82" s="16">
        <f>+IFERROR(VLOOKUP(A82,'[49]TB NEW'!$A$6:$P$714,7,0),0)</f>
        <v>0</v>
      </c>
      <c r="F82" s="16">
        <f>+IFERROR(VLOOKUP(A82,'[49]TB NEW'!$A$6:$P$714,10,0),0)</f>
        <v>0</v>
      </c>
      <c r="G82" s="17">
        <f t="shared" si="2"/>
        <v>414273</v>
      </c>
      <c r="H82" s="17">
        <f t="shared" si="2"/>
        <v>0</v>
      </c>
      <c r="I82" s="17">
        <f t="shared" si="3"/>
        <v>414273</v>
      </c>
    </row>
    <row r="83" spans="1:10" s="15" customFormat="1">
      <c r="A83" s="10" t="s">
        <v>91</v>
      </c>
      <c r="B83" s="12">
        <v>200000</v>
      </c>
      <c r="C83" s="11"/>
      <c r="E83" s="16">
        <f>+IFERROR(VLOOKUP(A83,'[49]TB NEW'!$A$6:$P$714,7,0),0)</f>
        <v>200000</v>
      </c>
      <c r="F83" s="16">
        <f>+IFERROR(VLOOKUP(A83,'[49]TB NEW'!$A$6:$P$714,10,0),0)</f>
        <v>0</v>
      </c>
      <c r="G83" s="17">
        <f t="shared" si="2"/>
        <v>0</v>
      </c>
      <c r="H83" s="17">
        <f t="shared" si="2"/>
        <v>0</v>
      </c>
      <c r="I83" s="17">
        <f t="shared" si="3"/>
        <v>0</v>
      </c>
    </row>
    <row r="84" spans="1:10" s="15" customFormat="1">
      <c r="A84" s="10" t="s">
        <v>92</v>
      </c>
      <c r="B84" s="12">
        <v>9500</v>
      </c>
      <c r="C84" s="11"/>
      <c r="E84" s="16">
        <f>+IFERROR(VLOOKUP(A84,'[49]TB NEW'!$A$6:$P$714,7,0),0)</f>
        <v>9500</v>
      </c>
      <c r="F84" s="16">
        <f>+IFERROR(VLOOKUP(A84,'[49]TB NEW'!$A$6:$P$714,10,0),0)</f>
        <v>0</v>
      </c>
      <c r="G84" s="17">
        <f t="shared" si="2"/>
        <v>0</v>
      </c>
      <c r="H84" s="17">
        <f t="shared" si="2"/>
        <v>0</v>
      </c>
      <c r="I84" s="17">
        <f t="shared" si="3"/>
        <v>0</v>
      </c>
    </row>
    <row r="85" spans="1:10" s="15" customFormat="1">
      <c r="A85" s="10" t="s">
        <v>93</v>
      </c>
      <c r="B85" s="12">
        <v>4161624.7</v>
      </c>
      <c r="C85" s="11"/>
      <c r="E85" s="16">
        <f>+IFERROR(VLOOKUP(A85,'[49]TB NEW'!$A$6:$P$714,7,0),0)</f>
        <v>4494616</v>
      </c>
      <c r="F85" s="16">
        <f>+IFERROR(VLOOKUP(A85,'[49]TB NEW'!$A$6:$P$714,10,0),0)</f>
        <v>0</v>
      </c>
      <c r="G85" s="17">
        <f t="shared" si="2"/>
        <v>-332991.29999999981</v>
      </c>
      <c r="H85" s="17">
        <f t="shared" si="2"/>
        <v>0</v>
      </c>
      <c r="I85" s="17">
        <f t="shared" si="3"/>
        <v>-332991.29999999981</v>
      </c>
    </row>
    <row r="86" spans="1:10" s="15" customFormat="1">
      <c r="A86" s="10" t="s">
        <v>446</v>
      </c>
      <c r="B86" s="12">
        <v>375000</v>
      </c>
      <c r="C86" s="11"/>
      <c r="E86" s="16">
        <f>+IFERROR(VLOOKUP(A86,'[49]TB NEW'!$A$6:$P$714,7,0),0)</f>
        <v>0</v>
      </c>
      <c r="F86" s="16">
        <f>+IFERROR(VLOOKUP(A86,'[49]TB NEW'!$A$6:$P$714,10,0),0)</f>
        <v>0</v>
      </c>
      <c r="G86" s="17">
        <f t="shared" si="2"/>
        <v>375000</v>
      </c>
      <c r="H86" s="17">
        <f t="shared" si="2"/>
        <v>0</v>
      </c>
      <c r="I86" s="17">
        <f t="shared" si="3"/>
        <v>375000</v>
      </c>
      <c r="J86" s="15" t="s">
        <v>447</v>
      </c>
    </row>
    <row r="87" spans="1:10" s="15" customFormat="1">
      <c r="A87" s="10" t="s">
        <v>94</v>
      </c>
      <c r="B87" s="12">
        <v>50000</v>
      </c>
      <c r="C87" s="11"/>
      <c r="E87" s="16">
        <f>+IFERROR(VLOOKUP(A87,'[49]TB NEW'!$A$6:$P$714,7,0),0)</f>
        <v>470000</v>
      </c>
      <c r="F87" s="16">
        <f>+IFERROR(VLOOKUP(A87,'[49]TB NEW'!$A$6:$P$714,10,0),0)</f>
        <v>0</v>
      </c>
      <c r="G87" s="17">
        <f t="shared" si="2"/>
        <v>-420000</v>
      </c>
      <c r="H87" s="17">
        <f t="shared" si="2"/>
        <v>0</v>
      </c>
      <c r="I87" s="17">
        <f t="shared" si="3"/>
        <v>-420000</v>
      </c>
    </row>
    <row r="88" spans="1:10" s="15" customFormat="1">
      <c r="A88" s="10" t="s">
        <v>96</v>
      </c>
      <c r="B88" s="12">
        <v>125000</v>
      </c>
      <c r="C88" s="11"/>
      <c r="E88" s="16">
        <f>+IFERROR(VLOOKUP(A88,'[49]TB NEW'!$A$6:$P$714,7,0),0)</f>
        <v>125875</v>
      </c>
      <c r="F88" s="16">
        <f>+IFERROR(VLOOKUP(A88,'[49]TB NEW'!$A$6:$P$714,10,0),0)</f>
        <v>0</v>
      </c>
      <c r="G88" s="17">
        <f t="shared" si="2"/>
        <v>-875</v>
      </c>
      <c r="H88" s="17">
        <f t="shared" si="2"/>
        <v>0</v>
      </c>
      <c r="I88" s="17">
        <f t="shared" si="3"/>
        <v>-875</v>
      </c>
    </row>
    <row r="89" spans="1:10" s="15" customFormat="1">
      <c r="A89" s="10" t="s">
        <v>97</v>
      </c>
      <c r="B89" s="12">
        <v>1830288</v>
      </c>
      <c r="C89" s="11"/>
      <c r="E89" s="16">
        <f>+IFERROR(VLOOKUP(A89,'[49]TB NEW'!$A$6:$P$714,7,0),0)</f>
        <v>1739848</v>
      </c>
      <c r="F89" s="16">
        <f>+IFERROR(VLOOKUP(A89,'[49]TB NEW'!$A$6:$P$714,10,0),0)</f>
        <v>0</v>
      </c>
      <c r="G89" s="17">
        <f t="shared" si="2"/>
        <v>90440</v>
      </c>
      <c r="H89" s="17">
        <f t="shared" si="2"/>
        <v>0</v>
      </c>
      <c r="I89" s="17">
        <f t="shared" si="3"/>
        <v>90440</v>
      </c>
    </row>
    <row r="90" spans="1:10" s="15" customFormat="1">
      <c r="A90" s="10" t="s">
        <v>98</v>
      </c>
      <c r="B90" s="12">
        <v>1578365</v>
      </c>
      <c r="C90" s="11"/>
      <c r="E90" s="16">
        <f>+IFERROR(VLOOKUP(A90,'[49]TB NEW'!$A$6:$P$714,7,0),0)</f>
        <v>1751115</v>
      </c>
      <c r="F90" s="16">
        <f>+IFERROR(VLOOKUP(A90,'[49]TB NEW'!$A$6:$P$714,10,0),0)</f>
        <v>0</v>
      </c>
      <c r="G90" s="17">
        <f t="shared" si="2"/>
        <v>-172750</v>
      </c>
      <c r="H90" s="17">
        <f t="shared" si="2"/>
        <v>0</v>
      </c>
      <c r="I90" s="17">
        <f t="shared" si="3"/>
        <v>-172750</v>
      </c>
    </row>
    <row r="91" spans="1:10" s="15" customFormat="1">
      <c r="A91" s="10" t="s">
        <v>99</v>
      </c>
      <c r="B91" s="12">
        <v>59810</v>
      </c>
      <c r="C91" s="11"/>
      <c r="E91" s="16">
        <f>+IFERROR(VLOOKUP(A91,'[49]TB NEW'!$A$6:$P$714,7,0),0)</f>
        <v>93159</v>
      </c>
      <c r="F91" s="16">
        <f>+IFERROR(VLOOKUP(A91,'[49]TB NEW'!$A$6:$P$714,10,0),0)</f>
        <v>0</v>
      </c>
      <c r="G91" s="17">
        <f t="shared" si="2"/>
        <v>-33349</v>
      </c>
      <c r="H91" s="17">
        <f t="shared" si="2"/>
        <v>0</v>
      </c>
      <c r="I91" s="17">
        <f t="shared" si="3"/>
        <v>-33349</v>
      </c>
    </row>
    <row r="92" spans="1:10" s="15" customFormat="1">
      <c r="A92" s="10" t="s">
        <v>100</v>
      </c>
      <c r="B92" s="12">
        <v>115548</v>
      </c>
      <c r="C92" s="11"/>
      <c r="E92" s="16">
        <f>+IFERROR(VLOOKUP(A92,'[49]TB NEW'!$A$6:$P$714,7,0),0)</f>
        <v>56164</v>
      </c>
      <c r="F92" s="16">
        <f>+IFERROR(VLOOKUP(A92,'[49]TB NEW'!$A$6:$P$714,10,0),0)</f>
        <v>0</v>
      </c>
      <c r="G92" s="17">
        <f t="shared" si="2"/>
        <v>59384</v>
      </c>
      <c r="H92" s="17">
        <f t="shared" si="2"/>
        <v>0</v>
      </c>
      <c r="I92" s="17">
        <f t="shared" si="3"/>
        <v>59384</v>
      </c>
    </row>
    <row r="93" spans="1:10">
      <c r="A93" s="10" t="s">
        <v>101</v>
      </c>
      <c r="B93" s="12">
        <v>23569</v>
      </c>
      <c r="C93" s="11"/>
      <c r="E93" s="1">
        <f>+IFERROR(VLOOKUP(A93,'[49]TB NEW'!$A$6:$P$714,7,0),0)</f>
        <v>24904</v>
      </c>
      <c r="F93" s="1">
        <f>+IFERROR(VLOOKUP(A93,'[49]TB NEW'!$A$6:$P$714,10,0),0)</f>
        <v>0</v>
      </c>
      <c r="G93" s="18">
        <f t="shared" si="2"/>
        <v>-1335</v>
      </c>
      <c r="H93" s="18">
        <f t="shared" si="2"/>
        <v>0</v>
      </c>
      <c r="I93" s="18">
        <f t="shared" si="3"/>
        <v>-1335</v>
      </c>
    </row>
    <row r="94" spans="1:10">
      <c r="A94" s="10" t="s">
        <v>102</v>
      </c>
      <c r="B94" s="12">
        <v>12624072</v>
      </c>
      <c r="C94" s="11"/>
      <c r="E94" s="1">
        <f>+IFERROR(VLOOKUP(A94,'[49]TB NEW'!$A$6:$P$714,7,0),0)</f>
        <v>13133972</v>
      </c>
      <c r="F94" s="1">
        <f>+IFERROR(VLOOKUP(A94,'[49]TB NEW'!$A$6:$P$714,10,0),0)</f>
        <v>0</v>
      </c>
      <c r="G94" s="18">
        <f t="shared" si="2"/>
        <v>-509900</v>
      </c>
      <c r="H94" s="18">
        <f t="shared" si="2"/>
        <v>0</v>
      </c>
      <c r="I94" s="18">
        <f t="shared" si="3"/>
        <v>-509900</v>
      </c>
    </row>
    <row r="95" spans="1:10">
      <c r="A95" s="10" t="s">
        <v>103</v>
      </c>
      <c r="B95" s="12">
        <v>235948</v>
      </c>
      <c r="C95" s="11"/>
      <c r="E95" s="1">
        <f>+IFERROR(VLOOKUP(A95,'[49]TB NEW'!$A$6:$P$714,7,0),0)</f>
        <v>240398</v>
      </c>
      <c r="F95" s="1">
        <f>+IFERROR(VLOOKUP(A95,'[49]TB NEW'!$A$6:$P$714,10,0),0)</f>
        <v>0</v>
      </c>
      <c r="G95" s="18">
        <f t="shared" si="2"/>
        <v>-4450</v>
      </c>
      <c r="H95" s="18">
        <f t="shared" si="2"/>
        <v>0</v>
      </c>
      <c r="I95" s="18">
        <f t="shared" si="3"/>
        <v>-4450</v>
      </c>
    </row>
    <row r="96" spans="1:10">
      <c r="A96" s="10" t="s">
        <v>448</v>
      </c>
      <c r="B96" s="12">
        <v>7000</v>
      </c>
      <c r="C96" s="11"/>
      <c r="E96" s="1">
        <f>+IFERROR(VLOOKUP(A96,'[49]TB NEW'!$A$6:$P$714,7,0),0)</f>
        <v>0</v>
      </c>
      <c r="F96" s="1">
        <f>+IFERROR(VLOOKUP(A96,'[49]TB NEW'!$A$6:$P$714,10,0),0)</f>
        <v>0</v>
      </c>
      <c r="G96" s="18">
        <f t="shared" si="2"/>
        <v>7000</v>
      </c>
      <c r="H96" s="18">
        <f t="shared" si="2"/>
        <v>0</v>
      </c>
      <c r="I96" s="18">
        <f t="shared" si="3"/>
        <v>7000</v>
      </c>
    </row>
    <row r="97" spans="1:9">
      <c r="A97" s="10" t="s">
        <v>449</v>
      </c>
      <c r="B97" s="12">
        <v>5000</v>
      </c>
      <c r="C97" s="11"/>
      <c r="E97" s="1">
        <f>+IFERROR(VLOOKUP(A97,'[49]TB NEW'!$A$6:$P$714,7,0),0)</f>
        <v>0</v>
      </c>
      <c r="F97" s="1">
        <f>+IFERROR(VLOOKUP(A97,'[49]TB NEW'!$A$6:$P$714,10,0),0)</f>
        <v>0</v>
      </c>
      <c r="G97" s="18">
        <f t="shared" si="2"/>
        <v>5000</v>
      </c>
      <c r="H97" s="18">
        <f t="shared" si="2"/>
        <v>0</v>
      </c>
      <c r="I97" s="18">
        <f t="shared" si="3"/>
        <v>5000</v>
      </c>
    </row>
    <row r="98" spans="1:9">
      <c r="A98" s="10" t="s">
        <v>107</v>
      </c>
      <c r="B98" s="12">
        <v>28782260</v>
      </c>
      <c r="C98" s="11"/>
      <c r="E98" s="1">
        <f>+IFERROR(VLOOKUP(A98,'[49]TB NEW'!$A$6:$P$714,7,0),0)</f>
        <v>30249269</v>
      </c>
      <c r="F98" s="1">
        <f>+IFERROR(VLOOKUP(A98,'[49]TB NEW'!$A$6:$P$714,10,0),0)</f>
        <v>0</v>
      </c>
      <c r="G98" s="18">
        <f t="shared" si="2"/>
        <v>-1467009</v>
      </c>
      <c r="H98" s="18">
        <f t="shared" si="2"/>
        <v>0</v>
      </c>
      <c r="I98" s="18">
        <f t="shared" si="3"/>
        <v>-1467009</v>
      </c>
    </row>
    <row r="99" spans="1:9">
      <c r="A99" s="10" t="s">
        <v>108</v>
      </c>
      <c r="B99" s="12">
        <v>188929.24</v>
      </c>
      <c r="C99" s="11"/>
      <c r="E99" s="1">
        <f>+IFERROR(VLOOKUP(A99,'[49]TB NEW'!$A$6:$P$714,7,0),0)</f>
        <v>0</v>
      </c>
      <c r="F99" s="1">
        <f>+IFERROR(VLOOKUP(A99,'[49]TB NEW'!$A$6:$P$714,10,0),0)</f>
        <v>49644.76</v>
      </c>
      <c r="G99" s="18">
        <f t="shared" si="2"/>
        <v>188929.24</v>
      </c>
      <c r="H99" s="18">
        <f t="shared" si="2"/>
        <v>-49644.76</v>
      </c>
      <c r="I99" s="18">
        <f t="shared" si="3"/>
        <v>139284.47999999998</v>
      </c>
    </row>
    <row r="100" spans="1:9">
      <c r="A100" s="10" t="s">
        <v>111</v>
      </c>
      <c r="B100" s="11"/>
      <c r="C100" s="12">
        <v>55518</v>
      </c>
      <c r="E100" s="1">
        <f>+IFERROR(VLOOKUP(A100,'[49]TB NEW'!$A$6:$P$714,7,0),0)</f>
        <v>0</v>
      </c>
      <c r="F100" s="1">
        <f>+IFERROR(VLOOKUP(A100,'[49]TB NEW'!$A$6:$P$714,10,0),0)</f>
        <v>56640</v>
      </c>
      <c r="G100" s="18">
        <f t="shared" si="2"/>
        <v>0</v>
      </c>
      <c r="H100" s="18">
        <f t="shared" si="2"/>
        <v>-1122</v>
      </c>
      <c r="I100" s="18">
        <f t="shared" si="3"/>
        <v>-1122</v>
      </c>
    </row>
    <row r="101" spans="1:9">
      <c r="A101" s="10" t="s">
        <v>112</v>
      </c>
      <c r="B101" s="11"/>
      <c r="C101" s="12">
        <v>1590213.7</v>
      </c>
      <c r="E101" s="1">
        <f>+IFERROR(VLOOKUP(A101,'[49]TB NEW'!$A$6:$P$714,7,0),0)</f>
        <v>0</v>
      </c>
      <c r="F101" s="1">
        <f>+IFERROR(VLOOKUP(A101,'[49]TB NEW'!$A$6:$P$714,10,0),0)</f>
        <v>5099431.7</v>
      </c>
      <c r="G101" s="18">
        <f t="shared" si="2"/>
        <v>0</v>
      </c>
      <c r="H101" s="18">
        <f t="shared" si="2"/>
        <v>-3509218</v>
      </c>
      <c r="I101" s="18">
        <f t="shared" si="3"/>
        <v>-3509218</v>
      </c>
    </row>
    <row r="102" spans="1:9">
      <c r="A102" s="10" t="s">
        <v>450</v>
      </c>
      <c r="B102" s="12">
        <v>447794</v>
      </c>
      <c r="C102" s="11"/>
      <c r="E102" s="1">
        <f>+IFERROR(VLOOKUP(A102,'[49]TB NEW'!$A$6:$P$714,7,0),0)</f>
        <v>0</v>
      </c>
      <c r="F102" s="1">
        <f>+IFERROR(VLOOKUP(A102,'[49]TB NEW'!$A$6:$P$714,10,0),0)</f>
        <v>0</v>
      </c>
      <c r="G102" s="18">
        <f t="shared" si="2"/>
        <v>447794</v>
      </c>
      <c r="H102" s="18">
        <f t="shared" si="2"/>
        <v>0</v>
      </c>
      <c r="I102" s="18">
        <f t="shared" si="3"/>
        <v>447794</v>
      </c>
    </row>
    <row r="103" spans="1:9">
      <c r="A103" s="10" t="s">
        <v>113</v>
      </c>
      <c r="B103" s="12">
        <v>26949655</v>
      </c>
      <c r="C103" s="11"/>
      <c r="E103" s="1">
        <f>+IFERROR(VLOOKUP(A103,'[49]TB NEW'!$A$6:$P$714,7,0),0)</f>
        <v>28507135.620000001</v>
      </c>
      <c r="F103" s="1">
        <f>+IFERROR(VLOOKUP(A103,'[49]TB NEW'!$A$6:$P$714,10,0),0)</f>
        <v>0</v>
      </c>
      <c r="G103" s="18">
        <f t="shared" si="2"/>
        <v>-1557480.620000001</v>
      </c>
      <c r="H103" s="18">
        <f t="shared" si="2"/>
        <v>0</v>
      </c>
      <c r="I103" s="18">
        <f t="shared" si="3"/>
        <v>-1557480.620000001</v>
      </c>
    </row>
    <row r="104" spans="1:9">
      <c r="A104" s="10" t="s">
        <v>114</v>
      </c>
      <c r="B104" s="11"/>
      <c r="C104" s="12">
        <v>26922650</v>
      </c>
      <c r="E104" s="1">
        <f>+IFERROR(VLOOKUP(A104,'[49]TB NEW'!$A$6:$P$714,7,0),0)</f>
        <v>0</v>
      </c>
      <c r="F104" s="1">
        <f>+IFERROR(VLOOKUP(A104,'[49]TB NEW'!$A$6:$P$714,10,0),0)</f>
        <v>26922650</v>
      </c>
      <c r="G104" s="18">
        <f t="shared" si="2"/>
        <v>0</v>
      </c>
      <c r="H104" s="18">
        <f t="shared" si="2"/>
        <v>0</v>
      </c>
      <c r="I104" s="18">
        <f t="shared" si="3"/>
        <v>0</v>
      </c>
    </row>
    <row r="105" spans="1:9">
      <c r="A105" s="10" t="s">
        <v>115</v>
      </c>
      <c r="B105" s="12">
        <v>267216</v>
      </c>
      <c r="C105" s="11"/>
      <c r="E105" s="1">
        <f>+IFERROR(VLOOKUP(A105,'[49]TB NEW'!$A$6:$P$714,7,0),0)</f>
        <v>236394</v>
      </c>
      <c r="F105" s="1">
        <f>+IFERROR(VLOOKUP(A105,'[49]TB NEW'!$A$6:$P$714,10,0),0)</f>
        <v>0</v>
      </c>
      <c r="G105" s="18">
        <f t="shared" si="2"/>
        <v>30822</v>
      </c>
      <c r="H105" s="18">
        <f t="shared" si="2"/>
        <v>0</v>
      </c>
      <c r="I105" s="18">
        <f t="shared" si="3"/>
        <v>30822</v>
      </c>
    </row>
    <row r="106" spans="1:9">
      <c r="A106" s="10" t="s">
        <v>451</v>
      </c>
      <c r="B106" s="12">
        <v>7729</v>
      </c>
      <c r="C106" s="11"/>
      <c r="E106" s="1">
        <f>+IFERROR(VLOOKUP(A106,'[49]TB NEW'!$A$6:$P$714,7,0),0)</f>
        <v>0</v>
      </c>
      <c r="F106" s="1">
        <f>+IFERROR(VLOOKUP(A106,'[49]TB NEW'!$A$6:$P$714,10,0),0)</f>
        <v>0</v>
      </c>
      <c r="G106" s="18">
        <f t="shared" si="2"/>
        <v>7729</v>
      </c>
      <c r="H106" s="18">
        <f t="shared" si="2"/>
        <v>0</v>
      </c>
      <c r="I106" s="18">
        <f t="shared" si="3"/>
        <v>7729</v>
      </c>
    </row>
    <row r="107" spans="1:9">
      <c r="A107" s="10" t="s">
        <v>116</v>
      </c>
      <c r="B107" s="12">
        <v>10000</v>
      </c>
      <c r="C107" s="11"/>
      <c r="E107" s="1">
        <f>+IFERROR(VLOOKUP(A107,'[49]TB NEW'!$A$6:$P$714,7,0),0)</f>
        <v>57414</v>
      </c>
      <c r="F107" s="1">
        <f>+IFERROR(VLOOKUP(A107,'[49]TB NEW'!$A$6:$P$714,10,0),0)</f>
        <v>0</v>
      </c>
      <c r="G107" s="18">
        <f t="shared" si="2"/>
        <v>-47414</v>
      </c>
      <c r="H107" s="18">
        <f t="shared" si="2"/>
        <v>0</v>
      </c>
      <c r="I107" s="18">
        <f t="shared" si="3"/>
        <v>-47414</v>
      </c>
    </row>
    <row r="108" spans="1:9">
      <c r="A108" s="10" t="s">
        <v>452</v>
      </c>
      <c r="B108" s="12">
        <v>131188</v>
      </c>
      <c r="C108" s="11"/>
      <c r="E108" s="1">
        <f>+IFERROR(VLOOKUP(A108,'[49]TB NEW'!$A$6:$P$714,7,0),0)</f>
        <v>0</v>
      </c>
      <c r="F108" s="1">
        <f>+IFERROR(VLOOKUP(A108,'[49]TB NEW'!$A$6:$P$714,10,0),0)</f>
        <v>0</v>
      </c>
      <c r="G108" s="18">
        <f t="shared" si="2"/>
        <v>131188</v>
      </c>
      <c r="H108" s="18">
        <f t="shared" si="2"/>
        <v>0</v>
      </c>
      <c r="I108" s="18">
        <f t="shared" si="3"/>
        <v>131188</v>
      </c>
    </row>
    <row r="109" spans="1:9">
      <c r="A109" s="10" t="s">
        <v>453</v>
      </c>
      <c r="B109" s="12">
        <v>17535</v>
      </c>
      <c r="C109" s="11"/>
      <c r="E109" s="1">
        <f>+IFERROR(VLOOKUP(A109,'[49]TB NEW'!$A$6:$P$714,7,0),0)</f>
        <v>0</v>
      </c>
      <c r="F109" s="1">
        <f>+IFERROR(VLOOKUP(A109,'[49]TB NEW'!$A$6:$P$714,10,0),0)</f>
        <v>0</v>
      </c>
      <c r="G109" s="18">
        <f t="shared" si="2"/>
        <v>17535</v>
      </c>
      <c r="H109" s="18">
        <f t="shared" si="2"/>
        <v>0</v>
      </c>
      <c r="I109" s="18">
        <f t="shared" si="3"/>
        <v>17535</v>
      </c>
    </row>
    <row r="110" spans="1:9">
      <c r="A110" s="10" t="s">
        <v>454</v>
      </c>
      <c r="B110" s="12">
        <v>300000</v>
      </c>
      <c r="C110" s="11"/>
      <c r="E110" s="1">
        <f>+IFERROR(VLOOKUP(A110,'[49]TB NEW'!$A$6:$P$714,7,0),0)</f>
        <v>0</v>
      </c>
      <c r="F110" s="1">
        <f>+IFERROR(VLOOKUP(A110,'[49]TB NEW'!$A$6:$P$714,10,0),0)</f>
        <v>0</v>
      </c>
      <c r="G110" s="18">
        <f t="shared" si="2"/>
        <v>300000</v>
      </c>
      <c r="H110" s="18">
        <f t="shared" si="2"/>
        <v>0</v>
      </c>
      <c r="I110" s="18">
        <f t="shared" si="3"/>
        <v>300000</v>
      </c>
    </row>
    <row r="111" spans="1:9">
      <c r="A111" s="10" t="s">
        <v>119</v>
      </c>
      <c r="B111" s="12">
        <v>58460</v>
      </c>
      <c r="C111" s="11"/>
      <c r="E111" s="1">
        <f>+IFERROR(VLOOKUP(A111,'[49]TB NEW'!$A$6:$P$714,7,0),0)</f>
        <v>58090</v>
      </c>
      <c r="F111" s="1">
        <f>+IFERROR(VLOOKUP(A111,'[49]TB NEW'!$A$6:$P$714,10,0),0)</f>
        <v>0</v>
      </c>
      <c r="G111" s="18">
        <f t="shared" si="2"/>
        <v>370</v>
      </c>
      <c r="H111" s="18">
        <f t="shared" si="2"/>
        <v>0</v>
      </c>
      <c r="I111" s="18">
        <f t="shared" si="3"/>
        <v>370</v>
      </c>
    </row>
    <row r="112" spans="1:9">
      <c r="A112" s="10" t="s">
        <v>120</v>
      </c>
      <c r="B112" s="12">
        <v>304200.96999999997</v>
      </c>
      <c r="C112" s="11"/>
      <c r="E112" s="1">
        <f>+IFERROR(VLOOKUP(A112,'[49]TB NEW'!$A$6:$P$714,7,0),0)</f>
        <v>242450</v>
      </c>
      <c r="F112" s="1">
        <f>+IFERROR(VLOOKUP(A112,'[49]TB NEW'!$A$6:$P$714,10,0),0)</f>
        <v>0</v>
      </c>
      <c r="G112" s="18">
        <f t="shared" si="2"/>
        <v>61750.969999999972</v>
      </c>
      <c r="H112" s="18">
        <f t="shared" si="2"/>
        <v>0</v>
      </c>
      <c r="I112" s="18">
        <f t="shared" si="3"/>
        <v>61750.969999999972</v>
      </c>
    </row>
    <row r="113" spans="1:9">
      <c r="A113" s="10" t="s">
        <v>121</v>
      </c>
      <c r="B113" s="12">
        <v>61945705</v>
      </c>
      <c r="C113" s="11"/>
      <c r="E113" s="1">
        <f>+IFERROR(VLOOKUP(A113,'[49]TB NEW'!$A$6:$P$714,7,0),0)</f>
        <v>70499746</v>
      </c>
      <c r="F113" s="1">
        <f>+IFERROR(VLOOKUP(A113,'[49]TB NEW'!$A$6:$P$714,10,0),0)</f>
        <v>0</v>
      </c>
      <c r="G113" s="18">
        <f t="shared" si="2"/>
        <v>-8554041</v>
      </c>
      <c r="H113" s="18">
        <f t="shared" si="2"/>
        <v>0</v>
      </c>
      <c r="I113" s="18">
        <f t="shared" si="3"/>
        <v>-8554041</v>
      </c>
    </row>
    <row r="114" spans="1:9">
      <c r="A114" s="10" t="s">
        <v>122</v>
      </c>
      <c r="B114" s="12">
        <v>284236</v>
      </c>
      <c r="C114" s="11"/>
      <c r="E114" s="1">
        <f>+IFERROR(VLOOKUP(A114,'[49]TB NEW'!$A$6:$P$714,7,0),0)</f>
        <v>289245</v>
      </c>
      <c r="F114" s="1">
        <f>+IFERROR(VLOOKUP(A114,'[49]TB NEW'!$A$6:$P$714,10,0),0)</f>
        <v>0</v>
      </c>
      <c r="G114" s="18">
        <f t="shared" si="2"/>
        <v>-5009</v>
      </c>
      <c r="H114" s="18">
        <f t="shared" si="2"/>
        <v>0</v>
      </c>
      <c r="I114" s="18">
        <f t="shared" si="3"/>
        <v>-5009</v>
      </c>
    </row>
    <row r="115" spans="1:9">
      <c r="A115" s="10" t="s">
        <v>123</v>
      </c>
      <c r="B115" s="12">
        <v>50000</v>
      </c>
      <c r="C115" s="11"/>
      <c r="E115" s="1">
        <f>+IFERROR(VLOOKUP(A115,'[49]TB NEW'!$A$6:$P$714,7,0),0)</f>
        <v>50000</v>
      </c>
      <c r="F115" s="1">
        <f>+IFERROR(VLOOKUP(A115,'[49]TB NEW'!$A$6:$P$714,10,0),0)</f>
        <v>0</v>
      </c>
      <c r="G115" s="18">
        <f t="shared" si="2"/>
        <v>0</v>
      </c>
      <c r="H115" s="18">
        <f t="shared" si="2"/>
        <v>0</v>
      </c>
      <c r="I115" s="18">
        <f t="shared" si="3"/>
        <v>0</v>
      </c>
    </row>
    <row r="116" spans="1:9">
      <c r="A116" s="10" t="s">
        <v>124</v>
      </c>
      <c r="B116" s="12">
        <v>42599</v>
      </c>
      <c r="C116" s="11"/>
      <c r="E116" s="1">
        <f>+IFERROR(VLOOKUP(A116,'[49]TB NEW'!$A$6:$P$714,7,0),0)</f>
        <v>28970.799999999999</v>
      </c>
      <c r="F116" s="1">
        <f>+IFERROR(VLOOKUP(A116,'[49]TB NEW'!$A$6:$P$714,10,0),0)</f>
        <v>0</v>
      </c>
      <c r="G116" s="18">
        <f t="shared" si="2"/>
        <v>13628.2</v>
      </c>
      <c r="H116" s="18">
        <f t="shared" si="2"/>
        <v>0</v>
      </c>
      <c r="I116" s="18">
        <f t="shared" si="3"/>
        <v>13628.2</v>
      </c>
    </row>
    <row r="117" spans="1:9">
      <c r="A117" s="10" t="s">
        <v>125</v>
      </c>
      <c r="B117" s="12">
        <v>2585804</v>
      </c>
      <c r="C117" s="11"/>
      <c r="E117" s="1">
        <f>+IFERROR(VLOOKUP(A117,'[49]TB NEW'!$A$6:$P$714,7,0),0)</f>
        <v>2841598</v>
      </c>
      <c r="F117" s="1">
        <f>+IFERROR(VLOOKUP(A117,'[49]TB NEW'!$A$6:$P$714,10,0),0)</f>
        <v>0</v>
      </c>
      <c r="G117" s="18">
        <f t="shared" si="2"/>
        <v>-255794</v>
      </c>
      <c r="H117" s="18">
        <f t="shared" si="2"/>
        <v>0</v>
      </c>
      <c r="I117" s="18">
        <f t="shared" si="3"/>
        <v>-255794</v>
      </c>
    </row>
    <row r="118" spans="1:9">
      <c r="A118" s="10" t="s">
        <v>126</v>
      </c>
      <c r="B118" s="11"/>
      <c r="C118" s="12">
        <v>310756</v>
      </c>
      <c r="E118" s="1">
        <f>+IFERROR(VLOOKUP(A118,'[49]TB NEW'!$A$6:$P$714,7,0),0)</f>
        <v>0</v>
      </c>
      <c r="F118" s="1">
        <f>+IFERROR(VLOOKUP(A118,'[49]TB NEW'!$A$6:$P$714,10,0),0)</f>
        <v>303501</v>
      </c>
      <c r="G118" s="18">
        <f t="shared" si="2"/>
        <v>0</v>
      </c>
      <c r="H118" s="18">
        <f t="shared" si="2"/>
        <v>7255</v>
      </c>
      <c r="I118" s="18">
        <f t="shared" si="3"/>
        <v>7255</v>
      </c>
    </row>
    <row r="119" spans="1:9">
      <c r="A119" s="10" t="s">
        <v>455</v>
      </c>
      <c r="B119" s="11"/>
      <c r="C119" s="12">
        <v>3261</v>
      </c>
      <c r="E119" s="1">
        <f>+IFERROR(VLOOKUP(A119,'[49]TB NEW'!$A$6:$P$714,7,0),0)</f>
        <v>0</v>
      </c>
      <c r="F119" s="1">
        <f>+IFERROR(VLOOKUP(A119,'[49]TB NEW'!$A$6:$P$714,10,0),0)</f>
        <v>0</v>
      </c>
      <c r="G119" s="18">
        <f t="shared" si="2"/>
        <v>0</v>
      </c>
      <c r="H119" s="18">
        <f t="shared" si="2"/>
        <v>3261</v>
      </c>
      <c r="I119" s="18">
        <f t="shared" si="3"/>
        <v>3261</v>
      </c>
    </row>
    <row r="120" spans="1:9">
      <c r="A120" s="10" t="s">
        <v>456</v>
      </c>
      <c r="B120" s="11"/>
      <c r="C120" s="12">
        <v>26196</v>
      </c>
      <c r="E120" s="1">
        <f>+IFERROR(VLOOKUP(A120,'[49]TB NEW'!$A$6:$P$714,7,0),0)</f>
        <v>0</v>
      </c>
      <c r="F120" s="1">
        <f>+IFERROR(VLOOKUP(A120,'[49]TB NEW'!$A$6:$P$714,10,0),0)</f>
        <v>0</v>
      </c>
      <c r="G120" s="18">
        <f t="shared" si="2"/>
        <v>0</v>
      </c>
      <c r="H120" s="18">
        <f t="shared" si="2"/>
        <v>26196</v>
      </c>
      <c r="I120" s="18">
        <f t="shared" si="3"/>
        <v>26196</v>
      </c>
    </row>
    <row r="121" spans="1:9">
      <c r="A121" s="10" t="s">
        <v>127</v>
      </c>
      <c r="B121" s="12">
        <v>447710</v>
      </c>
      <c r="C121" s="11"/>
      <c r="E121" s="1">
        <f>+IFERROR(VLOOKUP(A121,'[49]TB NEW'!$A$6:$P$714,7,0),0)</f>
        <v>497672.7</v>
      </c>
      <c r="F121" s="1">
        <f>+IFERROR(VLOOKUP(A121,'[49]TB NEW'!$A$6:$P$714,10,0),0)</f>
        <v>0</v>
      </c>
      <c r="G121" s="18">
        <f t="shared" si="2"/>
        <v>-49962.700000000012</v>
      </c>
      <c r="H121" s="18">
        <f t="shared" si="2"/>
        <v>0</v>
      </c>
      <c r="I121" s="18">
        <f t="shared" si="3"/>
        <v>-49962.700000000012</v>
      </c>
    </row>
    <row r="122" spans="1:9">
      <c r="A122" s="10" t="s">
        <v>129</v>
      </c>
      <c r="B122" s="12">
        <v>1508572</v>
      </c>
      <c r="C122" s="11"/>
      <c r="E122" s="1">
        <f>+IFERROR(VLOOKUP(A122,'[49]TB NEW'!$A$6:$P$714,7,0),0)</f>
        <v>1626364.16</v>
      </c>
      <c r="F122" s="1">
        <f>+IFERROR(VLOOKUP(A122,'[49]TB NEW'!$A$6:$P$714,10,0),0)</f>
        <v>0</v>
      </c>
      <c r="G122" s="18">
        <f t="shared" si="2"/>
        <v>-117792.15999999992</v>
      </c>
      <c r="H122" s="18">
        <f t="shared" si="2"/>
        <v>0</v>
      </c>
      <c r="I122" s="18">
        <f t="shared" si="3"/>
        <v>-117792.15999999992</v>
      </c>
    </row>
    <row r="123" spans="1:9">
      <c r="A123" s="10" t="s">
        <v>130</v>
      </c>
      <c r="B123" s="11"/>
      <c r="C123" s="12">
        <v>772877</v>
      </c>
      <c r="E123" s="1">
        <f>+IFERROR(VLOOKUP(A123,'[49]TB NEW'!$A$6:$P$714,7,0),0)</f>
        <v>0</v>
      </c>
      <c r="F123" s="1">
        <f>+IFERROR(VLOOKUP(A123,'[49]TB NEW'!$A$6:$P$714,10,0),0)</f>
        <v>627784</v>
      </c>
      <c r="G123" s="18">
        <f t="shared" si="2"/>
        <v>0</v>
      </c>
      <c r="H123" s="18">
        <f t="shared" si="2"/>
        <v>145093</v>
      </c>
      <c r="I123" s="18">
        <f t="shared" si="3"/>
        <v>145093</v>
      </c>
    </row>
    <row r="124" spans="1:9">
      <c r="A124" s="10" t="s">
        <v>131</v>
      </c>
      <c r="B124" s="12">
        <v>302265</v>
      </c>
      <c r="C124" s="11"/>
      <c r="E124" s="1">
        <f>+IFERROR(VLOOKUP(A124,'[49]TB NEW'!$A$6:$P$714,7,0),0)</f>
        <v>358420</v>
      </c>
      <c r="F124" s="1">
        <f>+IFERROR(VLOOKUP(A124,'[49]TB NEW'!$A$6:$P$714,10,0),0)</f>
        <v>0</v>
      </c>
      <c r="G124" s="18">
        <f t="shared" si="2"/>
        <v>-56155</v>
      </c>
      <c r="H124" s="18">
        <f t="shared" si="2"/>
        <v>0</v>
      </c>
      <c r="I124" s="18">
        <f t="shared" si="3"/>
        <v>-56155</v>
      </c>
    </row>
    <row r="125" spans="1:9">
      <c r="A125" s="10" t="s">
        <v>133</v>
      </c>
      <c r="B125" s="12">
        <v>33965000</v>
      </c>
      <c r="C125" s="11"/>
      <c r="E125" s="1">
        <f>+IFERROR(VLOOKUP(A125,'[49]TB NEW'!$A$6:$P$714,7,0),0)</f>
        <v>33965000</v>
      </c>
      <c r="F125" s="1">
        <f>+IFERROR(VLOOKUP(A125,'[49]TB NEW'!$A$6:$P$714,10,0),0)</f>
        <v>0</v>
      </c>
      <c r="G125" s="18">
        <f t="shared" si="2"/>
        <v>0</v>
      </c>
      <c r="H125" s="18">
        <f t="shared" si="2"/>
        <v>0</v>
      </c>
      <c r="I125" s="18">
        <f t="shared" si="3"/>
        <v>0</v>
      </c>
    </row>
    <row r="126" spans="1:9">
      <c r="A126" s="10" t="s">
        <v>135</v>
      </c>
      <c r="B126" s="12">
        <v>1820294</v>
      </c>
      <c r="C126" s="11"/>
      <c r="E126" s="1">
        <f>+IFERROR(VLOOKUP(A126,'[49]TB NEW'!$A$6:$P$714,7,0),0)</f>
        <v>1820294</v>
      </c>
      <c r="F126" s="1">
        <f>+IFERROR(VLOOKUP(A126,'[49]TB NEW'!$A$6:$P$714,10,0),0)</f>
        <v>0</v>
      </c>
      <c r="G126" s="18">
        <f t="shared" si="2"/>
        <v>0</v>
      </c>
      <c r="H126" s="18">
        <f t="shared" si="2"/>
        <v>0</v>
      </c>
      <c r="I126" s="18">
        <f t="shared" si="3"/>
        <v>0</v>
      </c>
    </row>
    <row r="127" spans="1:9">
      <c r="A127" s="10" t="s">
        <v>136</v>
      </c>
      <c r="B127" s="12">
        <v>44880</v>
      </c>
      <c r="C127" s="11"/>
      <c r="E127" s="1">
        <f>+IFERROR(VLOOKUP(A127,'[49]TB NEW'!$A$6:$P$714,7,0),0)</f>
        <v>0</v>
      </c>
      <c r="F127" s="1">
        <f>+IFERROR(VLOOKUP(A127,'[49]TB NEW'!$A$6:$P$714,10,0),0)</f>
        <v>136007</v>
      </c>
      <c r="G127" s="18">
        <f t="shared" si="2"/>
        <v>44880</v>
      </c>
      <c r="H127" s="18">
        <f t="shared" si="2"/>
        <v>-136007</v>
      </c>
      <c r="I127" s="18">
        <f t="shared" si="3"/>
        <v>-91127</v>
      </c>
    </row>
    <row r="128" spans="1:9">
      <c r="A128" s="10" t="s">
        <v>457</v>
      </c>
      <c r="B128" s="11"/>
      <c r="C128" s="12">
        <v>979375</v>
      </c>
      <c r="E128" s="1">
        <f>+IFERROR(VLOOKUP(A128,'[49]TB NEW'!$A$6:$P$714,7,0),0)</f>
        <v>0</v>
      </c>
      <c r="F128" s="1">
        <f>+IFERROR(VLOOKUP(A128,'[49]TB NEW'!$A$6:$P$714,10,0),0)</f>
        <v>0</v>
      </c>
      <c r="G128" s="18">
        <f t="shared" si="2"/>
        <v>0</v>
      </c>
      <c r="H128" s="18">
        <f t="shared" si="2"/>
        <v>979375</v>
      </c>
      <c r="I128" s="18">
        <f t="shared" si="3"/>
        <v>979375</v>
      </c>
    </row>
    <row r="129" spans="1:9">
      <c r="A129" s="10" t="s">
        <v>137</v>
      </c>
      <c r="B129" s="11"/>
      <c r="C129" s="12">
        <v>1800000</v>
      </c>
      <c r="E129" s="1">
        <f>+IFERROR(VLOOKUP(A129,'[49]TB NEW'!$A$6:$P$714,7,0),0)</f>
        <v>0</v>
      </c>
      <c r="F129" s="1">
        <f>+IFERROR(VLOOKUP(A129,'[49]TB NEW'!$A$6:$P$714,10,0),0)</f>
        <v>1800000</v>
      </c>
      <c r="G129" s="18">
        <f t="shared" si="2"/>
        <v>0</v>
      </c>
      <c r="H129" s="18">
        <f t="shared" si="2"/>
        <v>0</v>
      </c>
      <c r="I129" s="18">
        <f t="shared" si="3"/>
        <v>0</v>
      </c>
    </row>
    <row r="130" spans="1:9">
      <c r="A130" s="10" t="s">
        <v>458</v>
      </c>
      <c r="B130" s="11"/>
      <c r="C130" s="12">
        <v>153329</v>
      </c>
      <c r="E130" s="1">
        <f>+IFERROR(VLOOKUP(A130,'[49]TB NEW'!$A$6:$P$714,7,0),0)</f>
        <v>0</v>
      </c>
      <c r="F130" s="1">
        <f>+IFERROR(VLOOKUP(A130,'[49]TB NEW'!$A$6:$P$714,10,0),0)</f>
        <v>0</v>
      </c>
      <c r="G130" s="18">
        <f t="shared" si="2"/>
        <v>0</v>
      </c>
      <c r="H130" s="18">
        <f t="shared" si="2"/>
        <v>153329</v>
      </c>
      <c r="I130" s="18">
        <f t="shared" si="3"/>
        <v>153329</v>
      </c>
    </row>
    <row r="131" spans="1:9">
      <c r="A131" s="10" t="s">
        <v>138</v>
      </c>
      <c r="B131" s="12">
        <v>1118356</v>
      </c>
      <c r="C131" s="11"/>
      <c r="E131" s="1">
        <f>+IFERROR(VLOOKUP(A131,'[49]TB NEW'!$A$6:$P$714,7,0),0)</f>
        <v>1140149</v>
      </c>
      <c r="F131" s="1">
        <f>+IFERROR(VLOOKUP(A131,'[49]TB NEW'!$A$6:$P$714,10,0),0)</f>
        <v>0</v>
      </c>
      <c r="G131" s="18">
        <f t="shared" si="2"/>
        <v>-21793</v>
      </c>
      <c r="H131" s="18">
        <f t="shared" si="2"/>
        <v>0</v>
      </c>
      <c r="I131" s="18">
        <f t="shared" si="3"/>
        <v>-21793</v>
      </c>
    </row>
    <row r="132" spans="1:9">
      <c r="A132" s="10" t="s">
        <v>141</v>
      </c>
      <c r="B132" s="12">
        <v>30000</v>
      </c>
      <c r="C132" s="11"/>
      <c r="E132" s="1">
        <f>+IFERROR(VLOOKUP(A132,'[49]TB NEW'!$A$6:$P$714,7,0),0)</f>
        <v>40000</v>
      </c>
      <c r="F132" s="1">
        <f>+IFERROR(VLOOKUP(A132,'[49]TB NEW'!$A$6:$P$714,10,0),0)</f>
        <v>0</v>
      </c>
      <c r="G132" s="18">
        <f t="shared" si="2"/>
        <v>-10000</v>
      </c>
      <c r="H132" s="18">
        <f t="shared" si="2"/>
        <v>0</v>
      </c>
      <c r="I132" s="18">
        <f t="shared" si="3"/>
        <v>-10000</v>
      </c>
    </row>
    <row r="133" spans="1:9">
      <c r="A133" s="10" t="s">
        <v>459</v>
      </c>
      <c r="B133" s="11"/>
      <c r="C133" s="12">
        <v>30000</v>
      </c>
      <c r="E133" s="1">
        <f>+IFERROR(VLOOKUP(A133,'[49]TB NEW'!$A$6:$P$714,7,0),0)</f>
        <v>0</v>
      </c>
      <c r="F133" s="1">
        <f>+IFERROR(VLOOKUP(A133,'[49]TB NEW'!$A$6:$P$714,10,0),0)</f>
        <v>0</v>
      </c>
      <c r="G133" s="18">
        <f t="shared" si="2"/>
        <v>0</v>
      </c>
      <c r="H133" s="18">
        <f t="shared" si="2"/>
        <v>30000</v>
      </c>
      <c r="I133" s="18">
        <f t="shared" si="3"/>
        <v>30000</v>
      </c>
    </row>
    <row r="134" spans="1:9">
      <c r="A134" s="10" t="s">
        <v>460</v>
      </c>
      <c r="B134" s="12">
        <v>22500</v>
      </c>
      <c r="C134" s="11"/>
      <c r="E134" s="1">
        <f>+IFERROR(VLOOKUP(A134,'[49]TB NEW'!$A$6:$P$714,7,0),0)</f>
        <v>0</v>
      </c>
      <c r="F134" s="1">
        <f>+IFERROR(VLOOKUP(A134,'[49]TB NEW'!$A$6:$P$714,10,0),0)</f>
        <v>0</v>
      </c>
      <c r="G134" s="18">
        <f t="shared" si="2"/>
        <v>22500</v>
      </c>
      <c r="H134" s="18">
        <f t="shared" si="2"/>
        <v>0</v>
      </c>
      <c r="I134" s="18">
        <f t="shared" si="3"/>
        <v>22500</v>
      </c>
    </row>
    <row r="135" spans="1:9">
      <c r="A135" s="10" t="s">
        <v>145</v>
      </c>
      <c r="B135" s="11"/>
      <c r="C135" s="12">
        <v>1000000</v>
      </c>
      <c r="E135" s="1">
        <f>+IFERROR(VLOOKUP(A135,'[49]TB NEW'!$A$6:$P$714,7,0),0)</f>
        <v>0</v>
      </c>
      <c r="F135" s="1">
        <f>+IFERROR(VLOOKUP(A135,'[49]TB NEW'!$A$6:$P$714,10,0),0)</f>
        <v>1093348</v>
      </c>
      <c r="G135" s="18">
        <f t="shared" si="2"/>
        <v>0</v>
      </c>
      <c r="H135" s="18">
        <f t="shared" si="2"/>
        <v>-93348</v>
      </c>
      <c r="I135" s="18">
        <f t="shared" si="3"/>
        <v>-93348</v>
      </c>
    </row>
    <row r="136" spans="1:9">
      <c r="A136" s="10" t="s">
        <v>146</v>
      </c>
      <c r="B136" s="12">
        <v>53500</v>
      </c>
      <c r="C136" s="11"/>
      <c r="E136" s="1">
        <f>+IFERROR(VLOOKUP(A136,'[49]TB NEW'!$A$6:$P$714,7,0),0)</f>
        <v>38000</v>
      </c>
      <c r="F136" s="1">
        <f>+IFERROR(VLOOKUP(A136,'[49]TB NEW'!$A$6:$P$714,10,0),0)</f>
        <v>0</v>
      </c>
      <c r="G136" s="18">
        <f t="shared" si="2"/>
        <v>15500</v>
      </c>
      <c r="H136" s="18">
        <f t="shared" si="2"/>
        <v>0</v>
      </c>
      <c r="I136" s="18">
        <f t="shared" si="3"/>
        <v>15500</v>
      </c>
    </row>
    <row r="137" spans="1:9">
      <c r="A137" s="10" t="s">
        <v>461</v>
      </c>
      <c r="B137" s="12">
        <v>1729264</v>
      </c>
      <c r="C137" s="11"/>
      <c r="E137" s="1">
        <f>+IFERROR(VLOOKUP(A137,'[49]TB NEW'!$A$6:$P$714,7,0),0)</f>
        <v>0</v>
      </c>
      <c r="F137" s="1">
        <f>+IFERROR(VLOOKUP(A137,'[49]TB NEW'!$A$6:$P$714,10,0),0)</f>
        <v>0</v>
      </c>
      <c r="G137" s="18">
        <f t="shared" si="2"/>
        <v>1729264</v>
      </c>
      <c r="H137" s="18">
        <f t="shared" si="2"/>
        <v>0</v>
      </c>
      <c r="I137" s="18">
        <f t="shared" si="3"/>
        <v>1729264</v>
      </c>
    </row>
    <row r="138" spans="1:9">
      <c r="A138" s="10" t="s">
        <v>462</v>
      </c>
      <c r="B138" s="12">
        <v>26000</v>
      </c>
      <c r="C138" s="11"/>
      <c r="E138" s="1">
        <f>+IFERROR(VLOOKUP(A138,'[49]TB NEW'!$A$6:$P$714,7,0),0)</f>
        <v>0</v>
      </c>
      <c r="F138" s="1">
        <f>+IFERROR(VLOOKUP(A138,'[49]TB NEW'!$A$6:$P$714,10,0),0)</f>
        <v>0</v>
      </c>
      <c r="G138" s="18">
        <f t="shared" si="2"/>
        <v>26000</v>
      </c>
      <c r="H138" s="18">
        <f t="shared" si="2"/>
        <v>0</v>
      </c>
      <c r="I138" s="18">
        <f t="shared" si="3"/>
        <v>26000</v>
      </c>
    </row>
    <row r="139" spans="1:9">
      <c r="A139" s="10" t="s">
        <v>463</v>
      </c>
      <c r="B139" s="12">
        <v>18000</v>
      </c>
      <c r="C139" s="11"/>
      <c r="E139" s="1">
        <f>+IFERROR(VLOOKUP(A139,'[49]TB NEW'!$A$6:$P$714,7,0),0)</f>
        <v>0</v>
      </c>
      <c r="F139" s="1">
        <f>+IFERROR(VLOOKUP(A139,'[49]TB NEW'!$A$6:$P$714,10,0),0)</f>
        <v>0</v>
      </c>
      <c r="G139" s="18">
        <f t="shared" ref="G139:H202" si="4">+B139-E139</f>
        <v>18000</v>
      </c>
      <c r="H139" s="18">
        <f t="shared" si="4"/>
        <v>0</v>
      </c>
      <c r="I139" s="18">
        <f t="shared" ref="I139:I202" si="5">+G139+H139</f>
        <v>18000</v>
      </c>
    </row>
    <row r="140" spans="1:9">
      <c r="A140" s="10" t="s">
        <v>464</v>
      </c>
      <c r="B140" s="12">
        <v>10786.59</v>
      </c>
      <c r="C140" s="11"/>
      <c r="E140" s="1">
        <f>+IFERROR(VLOOKUP(A140,'[49]TB NEW'!$A$6:$P$714,7,0),0)</f>
        <v>0</v>
      </c>
      <c r="F140" s="1">
        <f>+IFERROR(VLOOKUP(A140,'[49]TB NEW'!$A$6:$P$714,10,0),0)</f>
        <v>0</v>
      </c>
      <c r="G140" s="18">
        <f t="shared" si="4"/>
        <v>10786.59</v>
      </c>
      <c r="H140" s="18">
        <f t="shared" si="4"/>
        <v>0</v>
      </c>
      <c r="I140" s="18">
        <f t="shared" si="5"/>
        <v>10786.59</v>
      </c>
    </row>
    <row r="141" spans="1:9">
      <c r="A141" s="10" t="s">
        <v>150</v>
      </c>
      <c r="B141" s="12">
        <v>127006722.05</v>
      </c>
      <c r="C141" s="11"/>
      <c r="E141" s="1">
        <f>+IFERROR(VLOOKUP(A141,'[49]TB NEW'!$A$6:$P$714,7,0),0)</f>
        <v>119902440.14</v>
      </c>
      <c r="F141" s="1">
        <f>+IFERROR(VLOOKUP(A141,'[49]TB NEW'!$A$6:$P$714,10,0),0)</f>
        <v>0</v>
      </c>
      <c r="G141" s="18">
        <f t="shared" si="4"/>
        <v>7104281.9099999964</v>
      </c>
      <c r="H141" s="18">
        <f t="shared" si="4"/>
        <v>0</v>
      </c>
      <c r="I141" s="18">
        <f t="shared" si="5"/>
        <v>7104281.9099999964</v>
      </c>
    </row>
    <row r="142" spans="1:9">
      <c r="A142" s="10" t="s">
        <v>151</v>
      </c>
      <c r="B142" s="11"/>
      <c r="C142" s="12">
        <v>1265155</v>
      </c>
      <c r="E142" s="1">
        <f>+IFERROR(VLOOKUP(A142,'[49]TB NEW'!$A$6:$P$714,7,0),0)</f>
        <v>0</v>
      </c>
      <c r="F142" s="1">
        <f>+IFERROR(VLOOKUP(A142,'[49]TB NEW'!$A$6:$P$714,10,0),0)</f>
        <v>1259230</v>
      </c>
      <c r="G142" s="18">
        <f t="shared" si="4"/>
        <v>0</v>
      </c>
      <c r="H142" s="18">
        <f t="shared" si="4"/>
        <v>5925</v>
      </c>
      <c r="I142" s="18">
        <f t="shared" si="5"/>
        <v>5925</v>
      </c>
    </row>
    <row r="143" spans="1:9">
      <c r="A143" s="10" t="s">
        <v>152</v>
      </c>
      <c r="B143" s="12">
        <v>1265155</v>
      </c>
      <c r="C143" s="11"/>
      <c r="E143" s="1">
        <f>+IFERROR(VLOOKUP(A143,'[49]TB NEW'!$A$6:$P$714,7,0),0)</f>
        <v>1259230</v>
      </c>
      <c r="F143" s="1">
        <f>+IFERROR(VLOOKUP(A143,'[49]TB NEW'!$A$6:$P$714,10,0),0)</f>
        <v>0</v>
      </c>
      <c r="G143" s="18">
        <f t="shared" si="4"/>
        <v>5925</v>
      </c>
      <c r="H143" s="18">
        <f t="shared" si="4"/>
        <v>0</v>
      </c>
      <c r="I143" s="18">
        <f t="shared" si="5"/>
        <v>5925</v>
      </c>
    </row>
    <row r="144" spans="1:9">
      <c r="A144" s="10" t="s">
        <v>465</v>
      </c>
      <c r="B144" s="11"/>
      <c r="C144" s="12">
        <v>336300</v>
      </c>
      <c r="E144" s="1">
        <f>+IFERROR(VLOOKUP(A144,'[49]TB NEW'!$A$6:$P$714,7,0),0)</f>
        <v>0</v>
      </c>
      <c r="F144" s="1">
        <f>+IFERROR(VLOOKUP(A144,'[49]TB NEW'!$A$6:$P$714,10,0),0)</f>
        <v>0</v>
      </c>
      <c r="G144" s="18">
        <f t="shared" si="4"/>
        <v>0</v>
      </c>
      <c r="H144" s="18">
        <f t="shared" si="4"/>
        <v>336300</v>
      </c>
      <c r="I144" s="18">
        <f t="shared" si="5"/>
        <v>336300</v>
      </c>
    </row>
    <row r="145" spans="1:9">
      <c r="A145" s="10" t="s">
        <v>153</v>
      </c>
      <c r="B145" s="11"/>
      <c r="C145" s="12">
        <v>17898</v>
      </c>
      <c r="E145" s="1">
        <f>+IFERROR(VLOOKUP(A145,'[49]TB NEW'!$A$6:$P$714,7,0),0)</f>
        <v>0</v>
      </c>
      <c r="F145" s="1">
        <f>+IFERROR(VLOOKUP(A145,'[49]TB NEW'!$A$6:$P$714,10,0),0)</f>
        <v>102556</v>
      </c>
      <c r="G145" s="18">
        <f t="shared" si="4"/>
        <v>0</v>
      </c>
      <c r="H145" s="18">
        <f t="shared" si="4"/>
        <v>-84658</v>
      </c>
      <c r="I145" s="18">
        <f t="shared" si="5"/>
        <v>-84658</v>
      </c>
    </row>
    <row r="146" spans="1:9">
      <c r="A146" s="10" t="s">
        <v>154</v>
      </c>
      <c r="B146" s="12">
        <v>143542</v>
      </c>
      <c r="C146" s="11"/>
      <c r="E146" s="1">
        <f>+IFERROR(VLOOKUP(A146,'[49]TB NEW'!$A$6:$P$714,7,0),0)</f>
        <v>238781</v>
      </c>
      <c r="F146" s="1">
        <f>+IFERROR(VLOOKUP(A146,'[49]TB NEW'!$A$6:$P$714,10,0),0)</f>
        <v>0</v>
      </c>
      <c r="G146" s="18">
        <f t="shared" si="4"/>
        <v>-95239</v>
      </c>
      <c r="H146" s="18">
        <f t="shared" si="4"/>
        <v>0</v>
      </c>
      <c r="I146" s="18">
        <f t="shared" si="5"/>
        <v>-95239</v>
      </c>
    </row>
    <row r="147" spans="1:9">
      <c r="A147" s="10" t="s">
        <v>156</v>
      </c>
      <c r="B147" s="12">
        <v>327417</v>
      </c>
      <c r="C147" s="11"/>
      <c r="E147" s="1">
        <f>+IFERROR(VLOOKUP(A147,'[49]TB NEW'!$A$6:$P$714,7,0),0)</f>
        <v>280070</v>
      </c>
      <c r="F147" s="1">
        <f>+IFERROR(VLOOKUP(A147,'[49]TB NEW'!$A$6:$P$714,10,0),0)</f>
        <v>0</v>
      </c>
      <c r="G147" s="18">
        <f t="shared" si="4"/>
        <v>47347</v>
      </c>
      <c r="H147" s="18">
        <f t="shared" si="4"/>
        <v>0</v>
      </c>
      <c r="I147" s="18">
        <f t="shared" si="5"/>
        <v>47347</v>
      </c>
    </row>
    <row r="148" spans="1:9">
      <c r="A148" s="10" t="s">
        <v>158</v>
      </c>
      <c r="B148" s="12">
        <v>1049138</v>
      </c>
      <c r="C148" s="11"/>
      <c r="E148" s="1">
        <f>+IFERROR(VLOOKUP(A148,'[49]TB NEW'!$A$6:$P$714,7,0),0)</f>
        <v>944137</v>
      </c>
      <c r="F148" s="1">
        <f>+IFERROR(VLOOKUP(A148,'[49]TB NEW'!$A$6:$P$714,10,0),0)</f>
        <v>0</v>
      </c>
      <c r="G148" s="18">
        <f t="shared" si="4"/>
        <v>105001</v>
      </c>
      <c r="H148" s="18">
        <f t="shared" si="4"/>
        <v>0</v>
      </c>
      <c r="I148" s="18">
        <f t="shared" si="5"/>
        <v>105001</v>
      </c>
    </row>
    <row r="149" spans="1:9">
      <c r="A149" s="10" t="s">
        <v>466</v>
      </c>
      <c r="B149" s="12">
        <v>380717</v>
      </c>
      <c r="C149" s="11"/>
      <c r="E149" s="1">
        <f>+IFERROR(VLOOKUP(A149,'[49]TB NEW'!$A$6:$P$714,7,0),0)</f>
        <v>0</v>
      </c>
      <c r="F149" s="1">
        <f>+IFERROR(VLOOKUP(A149,'[49]TB NEW'!$A$6:$P$714,10,0),0)</f>
        <v>0</v>
      </c>
      <c r="G149" s="18">
        <f t="shared" si="4"/>
        <v>380717</v>
      </c>
      <c r="H149" s="18">
        <f t="shared" si="4"/>
        <v>0</v>
      </c>
      <c r="I149" s="18">
        <f t="shared" si="5"/>
        <v>380717</v>
      </c>
    </row>
    <row r="150" spans="1:9">
      <c r="A150" s="10" t="s">
        <v>159</v>
      </c>
      <c r="B150" s="12">
        <v>432678</v>
      </c>
      <c r="C150" s="11"/>
      <c r="E150" s="1">
        <f>+IFERROR(VLOOKUP(A150,'[49]TB NEW'!$A$6:$P$714,7,0),0)</f>
        <v>414161</v>
      </c>
      <c r="F150" s="1">
        <f>+IFERROR(VLOOKUP(A150,'[49]TB NEW'!$A$6:$P$714,10,0),0)</f>
        <v>0</v>
      </c>
      <c r="G150" s="18">
        <f t="shared" si="4"/>
        <v>18517</v>
      </c>
      <c r="H150" s="18">
        <f t="shared" si="4"/>
        <v>0</v>
      </c>
      <c r="I150" s="18">
        <f t="shared" si="5"/>
        <v>18517</v>
      </c>
    </row>
    <row r="151" spans="1:9">
      <c r="A151" s="10" t="s">
        <v>160</v>
      </c>
      <c r="B151" s="12">
        <v>16003</v>
      </c>
      <c r="C151" s="11"/>
      <c r="E151" s="1">
        <f>+IFERROR(VLOOKUP(A151,'[49]TB NEW'!$A$6:$P$714,7,0),0)</f>
        <v>3023</v>
      </c>
      <c r="F151" s="1">
        <f>+IFERROR(VLOOKUP(A151,'[49]TB NEW'!$A$6:$P$714,10,0),0)</f>
        <v>0</v>
      </c>
      <c r="G151" s="18">
        <f t="shared" si="4"/>
        <v>12980</v>
      </c>
      <c r="H151" s="18">
        <f t="shared" si="4"/>
        <v>0</v>
      </c>
      <c r="I151" s="18">
        <f t="shared" si="5"/>
        <v>12980</v>
      </c>
    </row>
    <row r="152" spans="1:9">
      <c r="A152" s="10" t="s">
        <v>161</v>
      </c>
      <c r="B152" s="12">
        <v>53707</v>
      </c>
      <c r="C152" s="11"/>
      <c r="E152" s="1">
        <f>+IFERROR(VLOOKUP(A152,'[49]TB NEW'!$A$6:$P$714,7,0),0)</f>
        <v>29695</v>
      </c>
      <c r="F152" s="1">
        <f>+IFERROR(VLOOKUP(A152,'[49]TB NEW'!$A$6:$P$714,10,0),0)</f>
        <v>0</v>
      </c>
      <c r="G152" s="18">
        <f t="shared" si="4"/>
        <v>24012</v>
      </c>
      <c r="H152" s="18">
        <f t="shared" si="4"/>
        <v>0</v>
      </c>
      <c r="I152" s="18">
        <f t="shared" si="5"/>
        <v>24012</v>
      </c>
    </row>
    <row r="153" spans="1:9">
      <c r="A153" s="10" t="s">
        <v>162</v>
      </c>
      <c r="B153" s="12">
        <v>58427</v>
      </c>
      <c r="C153" s="11"/>
      <c r="E153" s="1">
        <f>+IFERROR(VLOOKUP(A153,'[49]TB NEW'!$A$6:$P$714,7,0),0)</f>
        <v>38511</v>
      </c>
      <c r="F153" s="1">
        <f>+IFERROR(VLOOKUP(A153,'[49]TB NEW'!$A$6:$P$714,10,0),0)</f>
        <v>0</v>
      </c>
      <c r="G153" s="18">
        <f t="shared" si="4"/>
        <v>19916</v>
      </c>
      <c r="H153" s="18">
        <f t="shared" si="4"/>
        <v>0</v>
      </c>
      <c r="I153" s="18">
        <f t="shared" si="5"/>
        <v>19916</v>
      </c>
    </row>
    <row r="154" spans="1:9">
      <c r="A154" s="10" t="s">
        <v>163</v>
      </c>
      <c r="B154" s="11"/>
      <c r="C154" s="12">
        <v>183449.05</v>
      </c>
      <c r="E154" s="1">
        <f>+IFERROR(VLOOKUP(A154,'[49]TB NEW'!$A$6:$P$714,7,0),0)</f>
        <v>0</v>
      </c>
      <c r="F154" s="1">
        <f>+IFERROR(VLOOKUP(A154,'[49]TB NEW'!$A$6:$P$714,10,0),0)</f>
        <v>37088</v>
      </c>
      <c r="G154" s="18">
        <f t="shared" si="4"/>
        <v>0</v>
      </c>
      <c r="H154" s="18">
        <f t="shared" si="4"/>
        <v>146361.04999999999</v>
      </c>
      <c r="I154" s="18">
        <f t="shared" si="5"/>
        <v>146361.04999999999</v>
      </c>
    </row>
    <row r="155" spans="1:9">
      <c r="A155" s="10" t="s">
        <v>164</v>
      </c>
      <c r="B155" s="12">
        <v>1002896</v>
      </c>
      <c r="C155" s="11"/>
      <c r="E155" s="1">
        <f>+IFERROR(VLOOKUP(A155,'[49]TB NEW'!$A$6:$P$714,7,0),0)</f>
        <v>672181</v>
      </c>
      <c r="F155" s="1">
        <f>+IFERROR(VLOOKUP(A155,'[49]TB NEW'!$A$6:$P$714,10,0),0)</f>
        <v>0</v>
      </c>
      <c r="G155" s="18">
        <f t="shared" si="4"/>
        <v>330715</v>
      </c>
      <c r="H155" s="18">
        <f t="shared" si="4"/>
        <v>0</v>
      </c>
      <c r="I155" s="18">
        <f t="shared" si="5"/>
        <v>330715</v>
      </c>
    </row>
    <row r="156" spans="1:9">
      <c r="A156" s="10" t="s">
        <v>165</v>
      </c>
      <c r="B156" s="12">
        <v>1332922</v>
      </c>
      <c r="C156" s="11"/>
      <c r="E156" s="1">
        <f>+IFERROR(VLOOKUP(A156,'[49]TB NEW'!$A$6:$P$714,7,0),0)</f>
        <v>867002</v>
      </c>
      <c r="F156" s="1">
        <f>+IFERROR(VLOOKUP(A156,'[49]TB NEW'!$A$6:$P$714,10,0),0)</f>
        <v>0</v>
      </c>
      <c r="G156" s="18">
        <f t="shared" si="4"/>
        <v>465920</v>
      </c>
      <c r="H156" s="18">
        <f t="shared" si="4"/>
        <v>0</v>
      </c>
      <c r="I156" s="18">
        <f t="shared" si="5"/>
        <v>465920</v>
      </c>
    </row>
    <row r="157" spans="1:9">
      <c r="A157" s="10" t="s">
        <v>166</v>
      </c>
      <c r="B157" s="12">
        <v>3632</v>
      </c>
      <c r="C157" s="11"/>
      <c r="E157" s="1">
        <f>+IFERROR(VLOOKUP(A157,'[49]TB NEW'!$A$6:$P$714,7,0),0)</f>
        <v>5436</v>
      </c>
      <c r="F157" s="1">
        <f>+IFERROR(VLOOKUP(A157,'[49]TB NEW'!$A$6:$P$714,10,0),0)</f>
        <v>0</v>
      </c>
      <c r="G157" s="18">
        <f t="shared" si="4"/>
        <v>-1804</v>
      </c>
      <c r="H157" s="18">
        <f t="shared" si="4"/>
        <v>0</v>
      </c>
      <c r="I157" s="18">
        <f t="shared" si="5"/>
        <v>-1804</v>
      </c>
    </row>
    <row r="158" spans="1:9">
      <c r="A158" s="10" t="s">
        <v>167</v>
      </c>
      <c r="B158" s="12">
        <v>17476</v>
      </c>
      <c r="C158" s="11"/>
      <c r="E158" s="1">
        <f>+IFERROR(VLOOKUP(A158,'[49]TB NEW'!$A$6:$P$714,7,0),0)</f>
        <v>27865</v>
      </c>
      <c r="F158" s="1">
        <f>+IFERROR(VLOOKUP(A158,'[49]TB NEW'!$A$6:$P$714,10,0),0)</f>
        <v>0</v>
      </c>
      <c r="G158" s="18">
        <f t="shared" si="4"/>
        <v>-10389</v>
      </c>
      <c r="H158" s="18">
        <f t="shared" si="4"/>
        <v>0</v>
      </c>
      <c r="I158" s="18">
        <f t="shared" si="5"/>
        <v>-10389</v>
      </c>
    </row>
    <row r="159" spans="1:9">
      <c r="A159" s="10" t="s">
        <v>467</v>
      </c>
      <c r="B159" s="12">
        <v>25345</v>
      </c>
      <c r="C159" s="11"/>
      <c r="E159" s="1">
        <f>+IFERROR(VLOOKUP(A159,'[49]TB NEW'!$A$6:$P$714,7,0),0)</f>
        <v>0</v>
      </c>
      <c r="F159" s="1">
        <f>+IFERROR(VLOOKUP(A159,'[49]TB NEW'!$A$6:$P$714,10,0),0)</f>
        <v>0</v>
      </c>
      <c r="G159" s="18">
        <f t="shared" si="4"/>
        <v>25345</v>
      </c>
      <c r="H159" s="18">
        <f t="shared" si="4"/>
        <v>0</v>
      </c>
      <c r="I159" s="18">
        <f t="shared" si="5"/>
        <v>25345</v>
      </c>
    </row>
    <row r="160" spans="1:9">
      <c r="A160" s="10" t="s">
        <v>168</v>
      </c>
      <c r="B160" s="12">
        <v>38</v>
      </c>
      <c r="C160" s="11"/>
      <c r="E160" s="1">
        <f>+IFERROR(VLOOKUP(A160,'[49]TB NEW'!$A$6:$P$714,7,0),0)</f>
        <v>2414</v>
      </c>
      <c r="F160" s="1">
        <f>+IFERROR(VLOOKUP(A160,'[49]TB NEW'!$A$6:$P$714,10,0),0)</f>
        <v>0</v>
      </c>
      <c r="G160" s="18">
        <f t="shared" si="4"/>
        <v>-2376</v>
      </c>
      <c r="H160" s="18">
        <f t="shared" si="4"/>
        <v>0</v>
      </c>
      <c r="I160" s="18">
        <f t="shared" si="5"/>
        <v>-2376</v>
      </c>
    </row>
    <row r="161" spans="1:9">
      <c r="A161" s="10" t="s">
        <v>169</v>
      </c>
      <c r="B161" s="12">
        <v>263266.87</v>
      </c>
      <c r="C161" s="11"/>
      <c r="E161" s="1">
        <f>+IFERROR(VLOOKUP(A161,'[49]TB NEW'!$A$6:$P$714,7,0),0)</f>
        <v>285231</v>
      </c>
      <c r="F161" s="1">
        <f>+IFERROR(VLOOKUP(A161,'[49]TB NEW'!$A$6:$P$714,10,0),0)</f>
        <v>0</v>
      </c>
      <c r="G161" s="18">
        <f t="shared" si="4"/>
        <v>-21964.130000000005</v>
      </c>
      <c r="H161" s="18">
        <f t="shared" si="4"/>
        <v>0</v>
      </c>
      <c r="I161" s="18">
        <f t="shared" si="5"/>
        <v>-21964.130000000005</v>
      </c>
    </row>
    <row r="162" spans="1:9">
      <c r="A162" s="10" t="s">
        <v>170</v>
      </c>
      <c r="B162" s="12">
        <v>410</v>
      </c>
      <c r="C162" s="11"/>
      <c r="E162" s="1">
        <f>+IFERROR(VLOOKUP(A162,'[49]TB NEW'!$A$6:$P$714,7,0),0)</f>
        <v>200</v>
      </c>
      <c r="F162" s="1">
        <f>+IFERROR(VLOOKUP(A162,'[49]TB NEW'!$A$6:$P$714,10,0),0)</f>
        <v>0</v>
      </c>
      <c r="G162" s="18">
        <f t="shared" si="4"/>
        <v>210</v>
      </c>
      <c r="H162" s="18">
        <f t="shared" si="4"/>
        <v>0</v>
      </c>
      <c r="I162" s="18">
        <f t="shared" si="5"/>
        <v>210</v>
      </c>
    </row>
    <row r="163" spans="1:9">
      <c r="A163" s="10" t="s">
        <v>173</v>
      </c>
      <c r="B163" s="12">
        <v>3632</v>
      </c>
      <c r="C163" s="11"/>
      <c r="E163" s="1">
        <f>+IFERROR(VLOOKUP(A163,'[49]TB NEW'!$A$6:$P$714,7,0),0)</f>
        <v>5436</v>
      </c>
      <c r="F163" s="1">
        <f>+IFERROR(VLOOKUP(A163,'[49]TB NEW'!$A$6:$P$714,10,0),0)</f>
        <v>0</v>
      </c>
      <c r="G163" s="18">
        <f t="shared" si="4"/>
        <v>-1804</v>
      </c>
      <c r="H163" s="18">
        <f t="shared" si="4"/>
        <v>0</v>
      </c>
      <c r="I163" s="18">
        <f t="shared" si="5"/>
        <v>-1804</v>
      </c>
    </row>
    <row r="164" spans="1:9">
      <c r="A164" s="10" t="s">
        <v>174</v>
      </c>
      <c r="B164" s="12">
        <v>22179</v>
      </c>
      <c r="C164" s="11"/>
      <c r="E164" s="1">
        <f>+IFERROR(VLOOKUP(A164,'[49]TB NEW'!$A$6:$P$714,7,0),0)</f>
        <v>2330</v>
      </c>
      <c r="F164" s="1">
        <f>+IFERROR(VLOOKUP(A164,'[49]TB NEW'!$A$6:$P$714,10,0),0)</f>
        <v>0</v>
      </c>
      <c r="G164" s="18">
        <f t="shared" si="4"/>
        <v>19849</v>
      </c>
      <c r="H164" s="18">
        <f t="shared" si="4"/>
        <v>0</v>
      </c>
      <c r="I164" s="18">
        <f t="shared" si="5"/>
        <v>19849</v>
      </c>
    </row>
    <row r="165" spans="1:9">
      <c r="A165" s="10" t="s">
        <v>468</v>
      </c>
      <c r="B165" s="11"/>
      <c r="C165" s="12">
        <v>47130</v>
      </c>
      <c r="E165" s="1">
        <f>+IFERROR(VLOOKUP(A165,'[49]TB NEW'!$A$6:$P$714,7,0),0)</f>
        <v>0</v>
      </c>
      <c r="F165" s="1">
        <f>+IFERROR(VLOOKUP(A165,'[49]TB NEW'!$A$6:$P$714,10,0),0)</f>
        <v>0</v>
      </c>
      <c r="G165" s="18">
        <f t="shared" si="4"/>
        <v>0</v>
      </c>
      <c r="H165" s="18">
        <f t="shared" si="4"/>
        <v>47130</v>
      </c>
      <c r="I165" s="18">
        <f t="shared" si="5"/>
        <v>47130</v>
      </c>
    </row>
    <row r="166" spans="1:9">
      <c r="A166" s="10" t="s">
        <v>176</v>
      </c>
      <c r="B166" s="11"/>
      <c r="C166" s="12">
        <v>262026</v>
      </c>
      <c r="E166" s="1">
        <f>+IFERROR(VLOOKUP(A166,'[49]TB NEW'!$A$6:$P$714,7,0),0)</f>
        <v>0</v>
      </c>
      <c r="F166" s="1">
        <f>+IFERROR(VLOOKUP(A166,'[49]TB NEW'!$A$6:$P$714,10,0),0)</f>
        <v>591387.93999999994</v>
      </c>
      <c r="G166" s="18">
        <f t="shared" si="4"/>
        <v>0</v>
      </c>
      <c r="H166" s="18">
        <f t="shared" si="4"/>
        <v>-329361.93999999994</v>
      </c>
      <c r="I166" s="18">
        <f t="shared" si="5"/>
        <v>-329361.93999999994</v>
      </c>
    </row>
    <row r="167" spans="1:9">
      <c r="A167" s="10" t="s">
        <v>177</v>
      </c>
      <c r="B167" s="12">
        <v>5694330</v>
      </c>
      <c r="C167" s="11"/>
      <c r="E167" s="1">
        <f>+IFERROR(VLOOKUP(A167,'[49]TB NEW'!$A$6:$P$714,7,0),0)</f>
        <v>4933451.9400000004</v>
      </c>
      <c r="F167" s="1">
        <f>+IFERROR(VLOOKUP(A167,'[49]TB NEW'!$A$6:$P$714,10,0),0)</f>
        <v>0</v>
      </c>
      <c r="G167" s="18">
        <f t="shared" si="4"/>
        <v>760878.05999999959</v>
      </c>
      <c r="H167" s="18">
        <f t="shared" si="4"/>
        <v>0</v>
      </c>
      <c r="I167" s="18">
        <f t="shared" si="5"/>
        <v>760878.05999999959</v>
      </c>
    </row>
    <row r="168" spans="1:9">
      <c r="A168" s="10" t="s">
        <v>178</v>
      </c>
      <c r="B168" s="12">
        <v>523984</v>
      </c>
      <c r="C168" s="11"/>
      <c r="E168" s="1">
        <f>+IFERROR(VLOOKUP(A168,'[49]TB NEW'!$A$6:$P$714,7,0),0)</f>
        <v>206543</v>
      </c>
      <c r="F168" s="1">
        <f>+IFERROR(VLOOKUP(A168,'[49]TB NEW'!$A$6:$P$714,10,0),0)</f>
        <v>0</v>
      </c>
      <c r="G168" s="18">
        <f t="shared" si="4"/>
        <v>317441</v>
      </c>
      <c r="H168" s="18">
        <f t="shared" si="4"/>
        <v>0</v>
      </c>
      <c r="I168" s="18">
        <f t="shared" si="5"/>
        <v>317441</v>
      </c>
    </row>
    <row r="169" spans="1:9">
      <c r="A169" s="10" t="s">
        <v>179</v>
      </c>
      <c r="B169" s="12">
        <v>1401926</v>
      </c>
      <c r="C169" s="11"/>
      <c r="E169" s="1">
        <f>+IFERROR(VLOOKUP(A169,'[49]TB NEW'!$A$6:$P$714,7,0),0)</f>
        <v>477528</v>
      </c>
      <c r="F169" s="1">
        <f>+IFERROR(VLOOKUP(A169,'[49]TB NEW'!$A$6:$P$714,10,0),0)</f>
        <v>0</v>
      </c>
      <c r="G169" s="18">
        <f t="shared" si="4"/>
        <v>924398</v>
      </c>
      <c r="H169" s="18">
        <f t="shared" si="4"/>
        <v>0</v>
      </c>
      <c r="I169" s="18">
        <f t="shared" si="5"/>
        <v>924398</v>
      </c>
    </row>
    <row r="170" spans="1:9">
      <c r="A170" s="10" t="s">
        <v>180</v>
      </c>
      <c r="B170" s="12">
        <v>3826381</v>
      </c>
      <c r="C170" s="11"/>
      <c r="E170" s="1">
        <f>+IFERROR(VLOOKUP(A170,'[49]TB NEW'!$A$6:$P$714,7,0),0)</f>
        <v>1878337</v>
      </c>
      <c r="F170" s="1">
        <f>+IFERROR(VLOOKUP(A170,'[49]TB NEW'!$A$6:$P$714,10,0),0)</f>
        <v>0</v>
      </c>
      <c r="G170" s="18">
        <f t="shared" si="4"/>
        <v>1948044</v>
      </c>
      <c r="H170" s="18">
        <f t="shared" si="4"/>
        <v>0</v>
      </c>
      <c r="I170" s="18">
        <f t="shared" si="5"/>
        <v>1948044</v>
      </c>
    </row>
    <row r="171" spans="1:9">
      <c r="A171" s="10" t="s">
        <v>181</v>
      </c>
      <c r="B171" s="12">
        <v>360000</v>
      </c>
      <c r="C171" s="11"/>
      <c r="E171" s="1">
        <f>+IFERROR(VLOOKUP(A171,'[49]TB NEW'!$A$6:$P$714,7,0),0)</f>
        <v>196000</v>
      </c>
      <c r="F171" s="1">
        <f>+IFERROR(VLOOKUP(A171,'[49]TB NEW'!$A$6:$P$714,10,0),0)</f>
        <v>0</v>
      </c>
      <c r="G171" s="18">
        <f t="shared" si="4"/>
        <v>164000</v>
      </c>
      <c r="H171" s="18">
        <f t="shared" si="4"/>
        <v>0</v>
      </c>
      <c r="I171" s="18">
        <f t="shared" si="5"/>
        <v>164000</v>
      </c>
    </row>
    <row r="172" spans="1:9">
      <c r="A172" s="10" t="s">
        <v>469</v>
      </c>
      <c r="B172" s="11"/>
      <c r="C172" s="12">
        <v>95344</v>
      </c>
      <c r="E172" s="1">
        <f>+IFERROR(VLOOKUP(A172,'[49]TB NEW'!$A$6:$P$714,7,0),0)</f>
        <v>0</v>
      </c>
      <c r="F172" s="1">
        <f>+IFERROR(VLOOKUP(A172,'[49]TB NEW'!$A$6:$P$714,10,0),0)</f>
        <v>0</v>
      </c>
      <c r="G172" s="18">
        <f t="shared" si="4"/>
        <v>0</v>
      </c>
      <c r="H172" s="18">
        <f t="shared" si="4"/>
        <v>95344</v>
      </c>
      <c r="I172" s="18">
        <f t="shared" si="5"/>
        <v>95344</v>
      </c>
    </row>
    <row r="173" spans="1:9">
      <c r="A173" s="10" t="s">
        <v>182</v>
      </c>
      <c r="B173" s="12">
        <v>521284</v>
      </c>
      <c r="C173" s="11"/>
      <c r="E173" s="1">
        <f>+IFERROR(VLOOKUP(A173,'[49]TB NEW'!$A$6:$P$714,7,0),0)</f>
        <v>556227</v>
      </c>
      <c r="F173" s="1">
        <f>+IFERROR(VLOOKUP(A173,'[49]TB NEW'!$A$6:$P$714,10,0),0)</f>
        <v>0</v>
      </c>
      <c r="G173" s="18">
        <f t="shared" si="4"/>
        <v>-34943</v>
      </c>
      <c r="H173" s="18">
        <f t="shared" si="4"/>
        <v>0</v>
      </c>
      <c r="I173" s="18">
        <f t="shared" si="5"/>
        <v>-34943</v>
      </c>
    </row>
    <row r="174" spans="1:9">
      <c r="A174" s="10" t="s">
        <v>183</v>
      </c>
      <c r="B174" s="12">
        <v>42545</v>
      </c>
      <c r="C174" s="11"/>
      <c r="E174" s="1">
        <f>+IFERROR(VLOOKUP(A174,'[49]TB NEW'!$A$6:$P$714,7,0),0)</f>
        <v>50745</v>
      </c>
      <c r="F174" s="1">
        <f>+IFERROR(VLOOKUP(A174,'[49]TB NEW'!$A$6:$P$714,10,0),0)</f>
        <v>0</v>
      </c>
      <c r="G174" s="18">
        <f t="shared" si="4"/>
        <v>-8200</v>
      </c>
      <c r="H174" s="18">
        <f t="shared" si="4"/>
        <v>0</v>
      </c>
      <c r="I174" s="18">
        <f t="shared" si="5"/>
        <v>-8200</v>
      </c>
    </row>
    <row r="175" spans="1:9">
      <c r="A175" s="10" t="s">
        <v>186</v>
      </c>
      <c r="B175" s="11"/>
      <c r="C175" s="12">
        <v>28497</v>
      </c>
      <c r="E175" s="1">
        <f>+IFERROR(VLOOKUP(A175,'[49]TB NEW'!$A$6:$P$714,7,0),0)</f>
        <v>0</v>
      </c>
      <c r="F175" s="1">
        <f>+IFERROR(VLOOKUP(A175,'[49]TB NEW'!$A$6:$P$714,10,0),0)</f>
        <v>23502</v>
      </c>
      <c r="G175" s="18">
        <f t="shared" si="4"/>
        <v>0</v>
      </c>
      <c r="H175" s="18">
        <f t="shared" si="4"/>
        <v>4995</v>
      </c>
      <c r="I175" s="18">
        <f t="shared" si="5"/>
        <v>4995</v>
      </c>
    </row>
    <row r="176" spans="1:9">
      <c r="A176" s="10" t="s">
        <v>187</v>
      </c>
      <c r="B176" s="11"/>
      <c r="C176" s="12">
        <v>6500000</v>
      </c>
      <c r="E176" s="1">
        <f>+IFERROR(VLOOKUP(A176,'[49]TB NEW'!$A$6:$P$714,7,0),0)</f>
        <v>0</v>
      </c>
      <c r="F176" s="1">
        <f>+IFERROR(VLOOKUP(A176,'[49]TB NEW'!$A$6:$P$714,10,0),0)</f>
        <v>6498343</v>
      </c>
      <c r="G176" s="18">
        <f t="shared" si="4"/>
        <v>0</v>
      </c>
      <c r="H176" s="18">
        <f t="shared" si="4"/>
        <v>1657</v>
      </c>
      <c r="I176" s="18">
        <f t="shared" si="5"/>
        <v>1657</v>
      </c>
    </row>
    <row r="177" spans="1:9">
      <c r="A177" s="10" t="s">
        <v>470</v>
      </c>
      <c r="B177" s="12">
        <v>1545645</v>
      </c>
      <c r="C177" s="11"/>
      <c r="E177" s="1">
        <f>+IFERROR(VLOOKUP(A177,'[49]TB NEW'!$A$6:$P$714,7,0),0)</f>
        <v>0</v>
      </c>
      <c r="F177" s="1">
        <f>+IFERROR(VLOOKUP(A177,'[49]TB NEW'!$A$6:$P$714,10,0),0)</f>
        <v>0</v>
      </c>
      <c r="G177" s="18">
        <f t="shared" si="4"/>
        <v>1545645</v>
      </c>
      <c r="H177" s="18">
        <f t="shared" si="4"/>
        <v>0</v>
      </c>
      <c r="I177" s="18">
        <f t="shared" si="5"/>
        <v>1545645</v>
      </c>
    </row>
    <row r="178" spans="1:9">
      <c r="A178" s="10" t="s">
        <v>471</v>
      </c>
      <c r="B178" s="12">
        <v>739696</v>
      </c>
      <c r="C178" s="11"/>
      <c r="E178" s="1">
        <f>+IFERROR(VLOOKUP(A178,'[49]TB NEW'!$A$6:$P$714,7,0),0)</f>
        <v>0</v>
      </c>
      <c r="F178" s="1">
        <f>+IFERROR(VLOOKUP(A178,'[49]TB NEW'!$A$6:$P$714,10,0),0)</f>
        <v>0</v>
      </c>
      <c r="G178" s="18">
        <f t="shared" si="4"/>
        <v>739696</v>
      </c>
      <c r="H178" s="18">
        <f t="shared" si="4"/>
        <v>0</v>
      </c>
      <c r="I178" s="18">
        <f t="shared" si="5"/>
        <v>739696</v>
      </c>
    </row>
    <row r="179" spans="1:9">
      <c r="A179" s="10" t="s">
        <v>191</v>
      </c>
      <c r="B179" s="12">
        <v>80000</v>
      </c>
      <c r="C179" s="11"/>
      <c r="E179" s="1">
        <f>+IFERROR(VLOOKUP(A179,'[49]TB NEW'!$A$6:$P$714,7,0),0)</f>
        <v>92000</v>
      </c>
      <c r="F179" s="1">
        <f>+IFERROR(VLOOKUP(A179,'[49]TB NEW'!$A$6:$P$714,10,0),0)</f>
        <v>0</v>
      </c>
      <c r="G179" s="18">
        <f t="shared" si="4"/>
        <v>-12000</v>
      </c>
      <c r="H179" s="18">
        <f t="shared" si="4"/>
        <v>0</v>
      </c>
      <c r="I179" s="18">
        <f t="shared" si="5"/>
        <v>-12000</v>
      </c>
    </row>
    <row r="180" spans="1:9">
      <c r="A180" s="10" t="s">
        <v>192</v>
      </c>
      <c r="B180" s="11"/>
      <c r="C180" s="12">
        <v>447447</v>
      </c>
      <c r="E180" s="1">
        <f>+IFERROR(VLOOKUP(A180,'[49]TB NEW'!$A$6:$P$714,7,0),0)</f>
        <v>0</v>
      </c>
      <c r="F180" s="1">
        <f>+IFERROR(VLOOKUP(A180,'[49]TB NEW'!$A$6:$P$714,10,0),0)</f>
        <v>366473</v>
      </c>
      <c r="G180" s="18">
        <f t="shared" si="4"/>
        <v>0</v>
      </c>
      <c r="H180" s="18">
        <f t="shared" si="4"/>
        <v>80974</v>
      </c>
      <c r="I180" s="18">
        <f t="shared" si="5"/>
        <v>80974</v>
      </c>
    </row>
    <row r="181" spans="1:9">
      <c r="A181" s="10" t="s">
        <v>194</v>
      </c>
      <c r="B181" s="11"/>
      <c r="C181" s="12">
        <v>3000000</v>
      </c>
      <c r="E181" s="1">
        <f>+IFERROR(VLOOKUP(A181,'[49]TB NEW'!$A$6:$P$714,7,0),0)</f>
        <v>0</v>
      </c>
      <c r="F181" s="1">
        <f>+IFERROR(VLOOKUP(A181,'[49]TB NEW'!$A$6:$P$714,10,0),0)</f>
        <v>3280041</v>
      </c>
      <c r="G181" s="18">
        <f t="shared" si="4"/>
        <v>0</v>
      </c>
      <c r="H181" s="18">
        <f t="shared" si="4"/>
        <v>-280041</v>
      </c>
      <c r="I181" s="18">
        <f t="shared" si="5"/>
        <v>-280041</v>
      </c>
    </row>
    <row r="182" spans="1:9">
      <c r="A182" s="10" t="s">
        <v>195</v>
      </c>
      <c r="B182" s="11"/>
      <c r="C182" s="12">
        <v>3476359.5</v>
      </c>
      <c r="E182" s="1">
        <f>+IFERROR(VLOOKUP(A182,'[49]TB NEW'!$A$6:$P$714,7,0),0)</f>
        <v>0</v>
      </c>
      <c r="F182" s="1">
        <f>+IFERROR(VLOOKUP(A182,'[49]TB NEW'!$A$6:$P$714,10,0),0)</f>
        <v>6148401.5</v>
      </c>
      <c r="G182" s="18">
        <f t="shared" si="4"/>
        <v>0</v>
      </c>
      <c r="H182" s="18">
        <f t="shared" si="4"/>
        <v>-2672042</v>
      </c>
      <c r="I182" s="18">
        <f t="shared" si="5"/>
        <v>-2672042</v>
      </c>
    </row>
    <row r="183" spans="1:9">
      <c r="A183" s="10" t="s">
        <v>196</v>
      </c>
      <c r="B183" s="12">
        <v>709104</v>
      </c>
      <c r="C183" s="11"/>
      <c r="E183" s="1">
        <f>+IFERROR(VLOOKUP(A183,'[49]TB NEW'!$A$6:$P$714,7,0),0)</f>
        <v>0</v>
      </c>
      <c r="F183" s="1">
        <f>+IFERROR(VLOOKUP(A183,'[49]TB NEW'!$A$6:$P$714,10,0),0)</f>
        <v>25611</v>
      </c>
      <c r="G183" s="18">
        <f t="shared" si="4"/>
        <v>709104</v>
      </c>
      <c r="H183" s="18">
        <f t="shared" si="4"/>
        <v>-25611</v>
      </c>
      <c r="I183" s="18">
        <f t="shared" si="5"/>
        <v>683493</v>
      </c>
    </row>
    <row r="184" spans="1:9">
      <c r="A184" s="10" t="s">
        <v>198</v>
      </c>
      <c r="B184" s="12">
        <v>41000</v>
      </c>
      <c r="C184" s="11"/>
      <c r="E184" s="1">
        <f>+IFERROR(VLOOKUP(A184,'[49]TB NEW'!$A$6:$P$714,7,0),0)</f>
        <v>23000</v>
      </c>
      <c r="F184" s="1">
        <f>+IFERROR(VLOOKUP(A184,'[49]TB NEW'!$A$6:$P$714,10,0),0)</f>
        <v>0</v>
      </c>
      <c r="G184" s="18">
        <f t="shared" si="4"/>
        <v>18000</v>
      </c>
      <c r="H184" s="18">
        <f t="shared" si="4"/>
        <v>0</v>
      </c>
      <c r="I184" s="18">
        <f t="shared" si="5"/>
        <v>18000</v>
      </c>
    </row>
    <row r="185" spans="1:9">
      <c r="A185" s="10" t="s">
        <v>199</v>
      </c>
      <c r="B185" s="12">
        <v>14688</v>
      </c>
      <c r="C185" s="11"/>
      <c r="E185" s="1">
        <f>+IFERROR(VLOOKUP(A185,'[49]TB NEW'!$A$6:$P$714,7,0),0)</f>
        <v>14352</v>
      </c>
      <c r="F185" s="1">
        <f>+IFERROR(VLOOKUP(A185,'[49]TB NEW'!$A$6:$P$714,10,0),0)</f>
        <v>0</v>
      </c>
      <c r="G185" s="18">
        <f t="shared" si="4"/>
        <v>336</v>
      </c>
      <c r="H185" s="18">
        <f t="shared" si="4"/>
        <v>0</v>
      </c>
      <c r="I185" s="18">
        <f t="shared" si="5"/>
        <v>336</v>
      </c>
    </row>
    <row r="186" spans="1:9">
      <c r="A186" s="10" t="s">
        <v>200</v>
      </c>
      <c r="B186" s="11"/>
      <c r="C186" s="12">
        <v>1191319</v>
      </c>
      <c r="E186" s="1">
        <f>+IFERROR(VLOOKUP(A186,'[49]TB NEW'!$A$6:$P$714,7,0),0)</f>
        <v>0</v>
      </c>
      <c r="F186" s="1">
        <f>+IFERROR(VLOOKUP(A186,'[49]TB NEW'!$A$6:$P$714,10,0),0)</f>
        <v>2096163</v>
      </c>
      <c r="G186" s="18">
        <f t="shared" si="4"/>
        <v>0</v>
      </c>
      <c r="H186" s="18">
        <f t="shared" si="4"/>
        <v>-904844</v>
      </c>
      <c r="I186" s="18">
        <f t="shared" si="5"/>
        <v>-904844</v>
      </c>
    </row>
    <row r="187" spans="1:9">
      <c r="A187" s="10" t="s">
        <v>201</v>
      </c>
      <c r="B187" s="12">
        <v>14635343</v>
      </c>
      <c r="C187" s="11"/>
      <c r="E187" s="1">
        <f>+IFERROR(VLOOKUP(A187,'[49]TB NEW'!$A$6:$P$714,7,0),0)</f>
        <v>16521941</v>
      </c>
      <c r="F187" s="1">
        <f>+IFERROR(VLOOKUP(A187,'[49]TB NEW'!$A$6:$P$714,10,0),0)</f>
        <v>0</v>
      </c>
      <c r="G187" s="18">
        <f t="shared" si="4"/>
        <v>-1886598</v>
      </c>
      <c r="H187" s="18">
        <f t="shared" si="4"/>
        <v>0</v>
      </c>
      <c r="I187" s="18">
        <f t="shared" si="5"/>
        <v>-1886598</v>
      </c>
    </row>
    <row r="188" spans="1:9">
      <c r="A188" s="10" t="s">
        <v>202</v>
      </c>
      <c r="B188" s="11"/>
      <c r="C188" s="12">
        <v>2736592</v>
      </c>
      <c r="E188" s="1">
        <f>+IFERROR(VLOOKUP(A188,'[49]TB NEW'!$A$6:$P$714,7,0),0)</f>
        <v>0</v>
      </c>
      <c r="F188" s="1">
        <f>+IFERROR(VLOOKUP(A188,'[49]TB NEW'!$A$6:$P$714,10,0),0)</f>
        <v>635040</v>
      </c>
      <c r="G188" s="18">
        <f t="shared" si="4"/>
        <v>0</v>
      </c>
      <c r="H188" s="18">
        <f t="shared" si="4"/>
        <v>2101552</v>
      </c>
      <c r="I188" s="18">
        <f t="shared" si="5"/>
        <v>2101552</v>
      </c>
    </row>
    <row r="189" spans="1:9">
      <c r="A189" s="10" t="s">
        <v>472</v>
      </c>
      <c r="B189" s="12">
        <v>3450</v>
      </c>
      <c r="C189" s="11"/>
      <c r="E189" s="1">
        <f>+IFERROR(VLOOKUP(A189,'[49]TB NEW'!$A$6:$P$714,7,0),0)</f>
        <v>0</v>
      </c>
      <c r="F189" s="1">
        <f>+IFERROR(VLOOKUP(A189,'[49]TB NEW'!$A$6:$P$714,10,0),0)</f>
        <v>0</v>
      </c>
      <c r="G189" s="18">
        <f t="shared" si="4"/>
        <v>3450</v>
      </c>
      <c r="H189" s="18">
        <f t="shared" si="4"/>
        <v>0</v>
      </c>
      <c r="I189" s="18">
        <f t="shared" si="5"/>
        <v>3450</v>
      </c>
    </row>
    <row r="190" spans="1:9">
      <c r="A190" s="10" t="s">
        <v>473</v>
      </c>
      <c r="B190" s="11"/>
      <c r="C190" s="12">
        <v>28611</v>
      </c>
      <c r="E190" s="1">
        <f>+IFERROR(VLOOKUP(A190,'[49]TB NEW'!$A$6:$P$714,7,0),0)</f>
        <v>0</v>
      </c>
      <c r="F190" s="1">
        <f>+IFERROR(VLOOKUP(A190,'[49]TB NEW'!$A$6:$P$714,10,0),0)</f>
        <v>0</v>
      </c>
      <c r="G190" s="18">
        <f t="shared" si="4"/>
        <v>0</v>
      </c>
      <c r="H190" s="18">
        <f t="shared" si="4"/>
        <v>28611</v>
      </c>
      <c r="I190" s="18">
        <f t="shared" si="5"/>
        <v>28611</v>
      </c>
    </row>
    <row r="191" spans="1:9">
      <c r="A191" s="10" t="s">
        <v>474</v>
      </c>
      <c r="B191" s="12">
        <v>6243</v>
      </c>
      <c r="C191" s="11"/>
      <c r="E191" s="1">
        <f>+IFERROR(VLOOKUP(A191,'[49]TB NEW'!$A$6:$P$714,7,0),0)</f>
        <v>0</v>
      </c>
      <c r="F191" s="1">
        <f>+IFERROR(VLOOKUP(A191,'[49]TB NEW'!$A$6:$P$714,10,0),0)</f>
        <v>0</v>
      </c>
      <c r="G191" s="18">
        <f t="shared" si="4"/>
        <v>6243</v>
      </c>
      <c r="H191" s="18">
        <f t="shared" si="4"/>
        <v>0</v>
      </c>
      <c r="I191" s="18">
        <f t="shared" si="5"/>
        <v>6243</v>
      </c>
    </row>
    <row r="192" spans="1:9">
      <c r="A192" s="10" t="s">
        <v>203</v>
      </c>
      <c r="B192" s="12">
        <v>247570</v>
      </c>
      <c r="C192" s="11"/>
      <c r="E192" s="1">
        <f>+IFERROR(VLOOKUP(A192,'[49]TB NEW'!$A$6:$P$714,7,0),0)</f>
        <v>195649</v>
      </c>
      <c r="F192" s="1">
        <f>+IFERROR(VLOOKUP(A192,'[49]TB NEW'!$A$6:$P$714,10,0),0)</f>
        <v>0</v>
      </c>
      <c r="G192" s="18">
        <f t="shared" si="4"/>
        <v>51921</v>
      </c>
      <c r="H192" s="18">
        <f t="shared" si="4"/>
        <v>0</v>
      </c>
      <c r="I192" s="18">
        <f t="shared" si="5"/>
        <v>51921</v>
      </c>
    </row>
    <row r="193" spans="1:9">
      <c r="A193" s="10" t="s">
        <v>204</v>
      </c>
      <c r="B193" s="11"/>
      <c r="C193" s="12">
        <v>184974</v>
      </c>
      <c r="E193" s="1">
        <f>+IFERROR(VLOOKUP(A193,'[49]TB NEW'!$A$6:$P$714,7,0),0)</f>
        <v>0</v>
      </c>
      <c r="F193" s="1">
        <f>+IFERROR(VLOOKUP(A193,'[49]TB NEW'!$A$6:$P$714,10,0),0)</f>
        <v>195649</v>
      </c>
      <c r="G193" s="18">
        <f t="shared" si="4"/>
        <v>0</v>
      </c>
      <c r="H193" s="18">
        <f t="shared" si="4"/>
        <v>-10675</v>
      </c>
      <c r="I193" s="18">
        <f t="shared" si="5"/>
        <v>-10675</v>
      </c>
    </row>
    <row r="194" spans="1:9">
      <c r="A194" s="10" t="s">
        <v>205</v>
      </c>
      <c r="B194" s="12">
        <v>642892</v>
      </c>
      <c r="C194" s="11"/>
      <c r="E194" s="1">
        <f>+IFERROR(VLOOKUP(A194,'[49]TB NEW'!$A$6:$P$714,7,0),0)</f>
        <v>133198.18</v>
      </c>
      <c r="F194" s="1">
        <f>+IFERROR(VLOOKUP(A194,'[49]TB NEW'!$A$6:$P$714,10,0),0)</f>
        <v>0</v>
      </c>
      <c r="G194" s="18">
        <f t="shared" si="4"/>
        <v>509693.82</v>
      </c>
      <c r="H194" s="18">
        <f t="shared" si="4"/>
        <v>0</v>
      </c>
      <c r="I194" s="18">
        <f t="shared" si="5"/>
        <v>509693.82</v>
      </c>
    </row>
    <row r="195" spans="1:9">
      <c r="A195" s="10" t="s">
        <v>206</v>
      </c>
      <c r="B195" s="11"/>
      <c r="C195" s="12">
        <v>44653</v>
      </c>
      <c r="E195" s="1">
        <f>+IFERROR(VLOOKUP(A195,'[49]TB NEW'!$A$6:$P$714,7,0),0)</f>
        <v>0</v>
      </c>
      <c r="F195" s="1">
        <f>+IFERROR(VLOOKUP(A195,'[49]TB NEW'!$A$6:$P$714,10,0),0)</f>
        <v>49045</v>
      </c>
      <c r="G195" s="18">
        <f t="shared" si="4"/>
        <v>0</v>
      </c>
      <c r="H195" s="18">
        <f t="shared" si="4"/>
        <v>-4392</v>
      </c>
      <c r="I195" s="18">
        <f t="shared" si="5"/>
        <v>-4392</v>
      </c>
    </row>
    <row r="196" spans="1:9">
      <c r="A196" s="10" t="s">
        <v>207</v>
      </c>
      <c r="B196" s="12">
        <v>250640</v>
      </c>
      <c r="C196" s="11"/>
      <c r="E196" s="1">
        <f>+IFERROR(VLOOKUP(A196,'[49]TB NEW'!$A$6:$P$714,7,0),0)</f>
        <v>288108</v>
      </c>
      <c r="F196" s="1">
        <f>+IFERROR(VLOOKUP(A196,'[49]TB NEW'!$A$6:$P$714,10,0),0)</f>
        <v>0</v>
      </c>
      <c r="G196" s="18">
        <f t="shared" si="4"/>
        <v>-37468</v>
      </c>
      <c r="H196" s="18">
        <f t="shared" si="4"/>
        <v>0</v>
      </c>
      <c r="I196" s="18">
        <f t="shared" si="5"/>
        <v>-37468</v>
      </c>
    </row>
    <row r="197" spans="1:9">
      <c r="A197" s="10" t="s">
        <v>209</v>
      </c>
      <c r="B197" s="12">
        <v>149546</v>
      </c>
      <c r="C197" s="11"/>
      <c r="E197" s="1">
        <f>+IFERROR(VLOOKUP(A197,'[49]TB NEW'!$A$6:$P$714,7,0),0)</f>
        <v>149343</v>
      </c>
      <c r="F197" s="1">
        <f>+IFERROR(VLOOKUP(A197,'[49]TB NEW'!$A$6:$P$714,10,0),0)</f>
        <v>0</v>
      </c>
      <c r="G197" s="18">
        <f t="shared" si="4"/>
        <v>203</v>
      </c>
      <c r="H197" s="18">
        <f t="shared" si="4"/>
        <v>0</v>
      </c>
      <c r="I197" s="18">
        <f t="shared" si="5"/>
        <v>203</v>
      </c>
    </row>
    <row r="198" spans="1:9">
      <c r="A198" s="10" t="s">
        <v>210</v>
      </c>
      <c r="B198" s="12">
        <v>994957</v>
      </c>
      <c r="C198" s="11"/>
      <c r="E198" s="1">
        <f>+IFERROR(VLOOKUP(A198,'[49]TB NEW'!$A$6:$P$714,7,0),0)</f>
        <v>969798</v>
      </c>
      <c r="F198" s="1">
        <f>+IFERROR(VLOOKUP(A198,'[49]TB NEW'!$A$6:$P$714,10,0),0)</f>
        <v>0</v>
      </c>
      <c r="G198" s="18">
        <f t="shared" si="4"/>
        <v>25159</v>
      </c>
      <c r="H198" s="18">
        <f t="shared" si="4"/>
        <v>0</v>
      </c>
      <c r="I198" s="18">
        <f t="shared" si="5"/>
        <v>25159</v>
      </c>
    </row>
    <row r="199" spans="1:9">
      <c r="A199" s="10" t="s">
        <v>211</v>
      </c>
      <c r="B199" s="12">
        <v>17174810.899999999</v>
      </c>
      <c r="C199" s="11"/>
      <c r="E199" s="1">
        <f>+IFERROR(VLOOKUP(A199,'[49]TB NEW'!$A$6:$P$714,7,0),0)</f>
        <v>10783983.359999999</v>
      </c>
      <c r="F199" s="1">
        <f>+IFERROR(VLOOKUP(A199,'[49]TB NEW'!$A$6:$P$714,10,0),0)</f>
        <v>0</v>
      </c>
      <c r="G199" s="18">
        <f t="shared" si="4"/>
        <v>6390827.5399999991</v>
      </c>
      <c r="H199" s="18">
        <f t="shared" si="4"/>
        <v>0</v>
      </c>
      <c r="I199" s="18">
        <f t="shared" si="5"/>
        <v>6390827.5399999991</v>
      </c>
    </row>
    <row r="200" spans="1:9">
      <c r="A200" s="10" t="s">
        <v>212</v>
      </c>
      <c r="B200" s="12">
        <v>938573.13</v>
      </c>
      <c r="C200" s="11"/>
      <c r="E200" s="1">
        <f>+IFERROR(VLOOKUP(A200,'[49]TB NEW'!$A$6:$P$714,7,0),0)</f>
        <v>1446914</v>
      </c>
      <c r="F200" s="1">
        <f>+IFERROR(VLOOKUP(A200,'[49]TB NEW'!$A$6:$P$714,10,0),0)</f>
        <v>0</v>
      </c>
      <c r="G200" s="18">
        <f t="shared" si="4"/>
        <v>-508340.87</v>
      </c>
      <c r="H200" s="18">
        <f t="shared" si="4"/>
        <v>0</v>
      </c>
      <c r="I200" s="18">
        <f t="shared" si="5"/>
        <v>-508340.87</v>
      </c>
    </row>
    <row r="201" spans="1:9">
      <c r="A201" s="10" t="s">
        <v>213</v>
      </c>
      <c r="B201" s="11"/>
      <c r="C201" s="12">
        <v>54944</v>
      </c>
      <c r="E201" s="1">
        <f>+IFERROR(VLOOKUP(A201,'[49]TB NEW'!$A$6:$P$714,7,0),0)</f>
        <v>0</v>
      </c>
      <c r="F201" s="1">
        <f>+IFERROR(VLOOKUP(A201,'[49]TB NEW'!$A$6:$P$714,10,0),0)</f>
        <v>55663</v>
      </c>
      <c r="G201" s="18">
        <f t="shared" si="4"/>
        <v>0</v>
      </c>
      <c r="H201" s="18">
        <f t="shared" si="4"/>
        <v>-719</v>
      </c>
      <c r="I201" s="18">
        <f t="shared" si="5"/>
        <v>-719</v>
      </c>
    </row>
    <row r="202" spans="1:9">
      <c r="A202" s="10" t="s">
        <v>214</v>
      </c>
      <c r="B202" s="12">
        <v>5000454</v>
      </c>
      <c r="C202" s="11"/>
      <c r="E202" s="1">
        <f>+IFERROR(VLOOKUP(A202,'[49]TB NEW'!$A$6:$P$714,7,0),0)</f>
        <v>4609940</v>
      </c>
      <c r="F202" s="1">
        <f>+IFERROR(VLOOKUP(A202,'[49]TB NEW'!$A$6:$P$714,10,0),0)</f>
        <v>0</v>
      </c>
      <c r="G202" s="18">
        <f t="shared" si="4"/>
        <v>390514</v>
      </c>
      <c r="H202" s="18">
        <f t="shared" si="4"/>
        <v>0</v>
      </c>
      <c r="I202" s="18">
        <f t="shared" si="5"/>
        <v>390514</v>
      </c>
    </row>
    <row r="203" spans="1:9">
      <c r="A203" s="10" t="s">
        <v>475</v>
      </c>
      <c r="B203" s="12">
        <v>7000</v>
      </c>
      <c r="C203" s="11"/>
      <c r="E203" s="1">
        <f>+IFERROR(VLOOKUP(A203,'[49]TB NEW'!$A$6:$P$714,7,0),0)</f>
        <v>0</v>
      </c>
      <c r="F203" s="1">
        <f>+IFERROR(VLOOKUP(A203,'[49]TB NEW'!$A$6:$P$714,10,0),0)</f>
        <v>0</v>
      </c>
      <c r="G203" s="18">
        <f t="shared" ref="G203:H266" si="6">+B203-E203</f>
        <v>7000</v>
      </c>
      <c r="H203" s="18">
        <f t="shared" si="6"/>
        <v>0</v>
      </c>
      <c r="I203" s="18">
        <f t="shared" ref="I203:I266" si="7">+G203+H203</f>
        <v>7000</v>
      </c>
    </row>
    <row r="204" spans="1:9">
      <c r="A204" s="10" t="s">
        <v>216</v>
      </c>
      <c r="B204" s="11"/>
      <c r="C204" s="12">
        <v>15950</v>
      </c>
      <c r="E204" s="1">
        <f>+IFERROR(VLOOKUP(A204,'[49]TB NEW'!$A$6:$P$714,7,0),0)</f>
        <v>0</v>
      </c>
      <c r="F204" s="1">
        <f>+IFERROR(VLOOKUP(A204,'[49]TB NEW'!$A$6:$P$714,10,0),0)</f>
        <v>15790</v>
      </c>
      <c r="G204" s="18">
        <f t="shared" si="6"/>
        <v>0</v>
      </c>
      <c r="H204" s="18">
        <f t="shared" si="6"/>
        <v>160</v>
      </c>
      <c r="I204" s="18">
        <f t="shared" si="7"/>
        <v>160</v>
      </c>
    </row>
    <row r="205" spans="1:9">
      <c r="A205" s="10" t="s">
        <v>218</v>
      </c>
      <c r="B205" s="12">
        <v>18000</v>
      </c>
      <c r="C205" s="11"/>
      <c r="E205" s="1">
        <f>+IFERROR(VLOOKUP(A205,'[49]TB NEW'!$A$6:$P$714,7,0),0)</f>
        <v>26000</v>
      </c>
      <c r="F205" s="1">
        <f>+IFERROR(VLOOKUP(A205,'[49]TB NEW'!$A$6:$P$714,10,0),0)</f>
        <v>0</v>
      </c>
      <c r="G205" s="18">
        <f t="shared" si="6"/>
        <v>-8000</v>
      </c>
      <c r="H205" s="18">
        <f t="shared" si="6"/>
        <v>0</v>
      </c>
      <c r="I205" s="18">
        <f t="shared" si="7"/>
        <v>-8000</v>
      </c>
    </row>
    <row r="206" spans="1:9">
      <c r="A206" s="10" t="s">
        <v>219</v>
      </c>
      <c r="B206" s="12">
        <v>127987</v>
      </c>
      <c r="C206" s="11"/>
      <c r="E206" s="1">
        <f>+IFERROR(VLOOKUP(A206,'[49]TB NEW'!$A$6:$P$714,7,0),0)</f>
        <v>127987</v>
      </c>
      <c r="F206" s="1">
        <f>+IFERROR(VLOOKUP(A206,'[49]TB NEW'!$A$6:$P$714,10,0),0)</f>
        <v>0</v>
      </c>
      <c r="G206" s="18">
        <f t="shared" si="6"/>
        <v>0</v>
      </c>
      <c r="H206" s="18">
        <f t="shared" si="6"/>
        <v>0</v>
      </c>
      <c r="I206" s="18">
        <f t="shared" si="7"/>
        <v>0</v>
      </c>
    </row>
    <row r="207" spans="1:9">
      <c r="A207" s="10" t="s">
        <v>220</v>
      </c>
      <c r="B207" s="12">
        <v>1848942</v>
      </c>
      <c r="C207" s="11"/>
      <c r="E207" s="1">
        <f>+IFERROR(VLOOKUP(A207,'[49]TB NEW'!$A$6:$P$714,7,0),0)</f>
        <v>1848942</v>
      </c>
      <c r="F207" s="1">
        <f>+IFERROR(VLOOKUP(A207,'[49]TB NEW'!$A$6:$P$714,10,0),0)</f>
        <v>0</v>
      </c>
      <c r="G207" s="18">
        <f t="shared" si="6"/>
        <v>0</v>
      </c>
      <c r="H207" s="18">
        <f t="shared" si="6"/>
        <v>0</v>
      </c>
      <c r="I207" s="18">
        <f t="shared" si="7"/>
        <v>0</v>
      </c>
    </row>
    <row r="208" spans="1:9">
      <c r="A208" s="10" t="s">
        <v>221</v>
      </c>
      <c r="B208" s="12">
        <v>556434</v>
      </c>
      <c r="C208" s="11"/>
      <c r="E208" s="1">
        <f>+IFERROR(VLOOKUP(A208,'[49]TB NEW'!$A$6:$P$714,7,0),0)</f>
        <v>556434</v>
      </c>
      <c r="F208" s="1">
        <f>+IFERROR(VLOOKUP(A208,'[49]TB NEW'!$A$6:$P$714,10,0),0)</f>
        <v>0</v>
      </c>
      <c r="G208" s="18">
        <f t="shared" si="6"/>
        <v>0</v>
      </c>
      <c r="H208" s="18">
        <f t="shared" si="6"/>
        <v>0</v>
      </c>
      <c r="I208" s="18">
        <f t="shared" si="7"/>
        <v>0</v>
      </c>
    </row>
    <row r="209" spans="1:9">
      <c r="A209" s="10" t="s">
        <v>222</v>
      </c>
      <c r="B209" s="12">
        <v>6404071</v>
      </c>
      <c r="C209" s="11"/>
      <c r="E209" s="1">
        <f>+IFERROR(VLOOKUP(A209,'[49]TB NEW'!$A$6:$P$714,7,0),0)</f>
        <v>6404071</v>
      </c>
      <c r="F209" s="1">
        <f>+IFERROR(VLOOKUP(A209,'[49]TB NEW'!$A$6:$P$714,10,0),0)</f>
        <v>0</v>
      </c>
      <c r="G209" s="18">
        <f t="shared" si="6"/>
        <v>0</v>
      </c>
      <c r="H209" s="18">
        <f t="shared" si="6"/>
        <v>0</v>
      </c>
      <c r="I209" s="18">
        <f t="shared" si="7"/>
        <v>0</v>
      </c>
    </row>
    <row r="210" spans="1:9">
      <c r="A210" s="10" t="s">
        <v>223</v>
      </c>
      <c r="B210" s="12">
        <v>479434</v>
      </c>
      <c r="C210" s="11"/>
      <c r="E210" s="1">
        <f>+IFERROR(VLOOKUP(A210,'[49]TB NEW'!$A$6:$P$714,7,0),0)</f>
        <v>479434</v>
      </c>
      <c r="F210" s="1">
        <f>+IFERROR(VLOOKUP(A210,'[49]TB NEW'!$A$6:$P$714,10,0),0)</f>
        <v>0</v>
      </c>
      <c r="G210" s="18">
        <f t="shared" si="6"/>
        <v>0</v>
      </c>
      <c r="H210" s="18">
        <f t="shared" si="6"/>
        <v>0</v>
      </c>
      <c r="I210" s="18">
        <f t="shared" si="7"/>
        <v>0</v>
      </c>
    </row>
    <row r="211" spans="1:9">
      <c r="A211" s="10" t="s">
        <v>225</v>
      </c>
      <c r="B211" s="12">
        <v>422254</v>
      </c>
      <c r="C211" s="11"/>
      <c r="E211" s="1">
        <f>+IFERROR(VLOOKUP(A211,'[49]TB NEW'!$A$6:$P$714,7,0),0)</f>
        <v>239427</v>
      </c>
      <c r="F211" s="1">
        <f>+IFERROR(VLOOKUP(A211,'[49]TB NEW'!$A$6:$P$714,10,0),0)</f>
        <v>0</v>
      </c>
      <c r="G211" s="18">
        <f t="shared" si="6"/>
        <v>182827</v>
      </c>
      <c r="H211" s="18">
        <f t="shared" si="6"/>
        <v>0</v>
      </c>
      <c r="I211" s="18">
        <f t="shared" si="7"/>
        <v>182827</v>
      </c>
    </row>
    <row r="212" spans="1:9">
      <c r="A212" s="10" t="s">
        <v>476</v>
      </c>
      <c r="B212" s="12">
        <v>156749</v>
      </c>
      <c r="C212" s="11"/>
      <c r="E212" s="1">
        <f>+IFERROR(VLOOKUP(A212,'[49]TB NEW'!$A$6:$P$714,7,0),0)</f>
        <v>0</v>
      </c>
      <c r="F212" s="1">
        <f>+IFERROR(VLOOKUP(A212,'[49]TB NEW'!$A$6:$P$714,10,0),0)</f>
        <v>0</v>
      </c>
      <c r="G212" s="18">
        <f t="shared" si="6"/>
        <v>156749</v>
      </c>
      <c r="H212" s="18">
        <f t="shared" si="6"/>
        <v>0</v>
      </c>
      <c r="I212" s="18">
        <f t="shared" si="7"/>
        <v>156749</v>
      </c>
    </row>
    <row r="213" spans="1:9">
      <c r="A213" s="10" t="s">
        <v>477</v>
      </c>
      <c r="B213" s="11"/>
      <c r="C213" s="12">
        <v>21760</v>
      </c>
      <c r="E213" s="1">
        <f>+IFERROR(VLOOKUP(A213,'[49]TB NEW'!$A$6:$P$714,7,0),0)</f>
        <v>0</v>
      </c>
      <c r="F213" s="1">
        <f>+IFERROR(VLOOKUP(A213,'[49]TB NEW'!$A$6:$P$714,10,0),0)</f>
        <v>0</v>
      </c>
      <c r="G213" s="18">
        <f t="shared" si="6"/>
        <v>0</v>
      </c>
      <c r="H213" s="18">
        <f t="shared" si="6"/>
        <v>21760</v>
      </c>
      <c r="I213" s="18">
        <f t="shared" si="7"/>
        <v>21760</v>
      </c>
    </row>
    <row r="214" spans="1:9">
      <c r="A214" s="10" t="s">
        <v>478</v>
      </c>
      <c r="B214" s="12">
        <v>706208</v>
      </c>
      <c r="C214" s="11"/>
      <c r="E214" s="1">
        <f>+IFERROR(VLOOKUP(A214,'[49]TB NEW'!$A$6:$P$714,7,0),0)</f>
        <v>0</v>
      </c>
      <c r="F214" s="1">
        <f>+IFERROR(VLOOKUP(A214,'[49]TB NEW'!$A$6:$P$714,10,0),0)</f>
        <v>0</v>
      </c>
      <c r="G214" s="18">
        <f t="shared" si="6"/>
        <v>706208</v>
      </c>
      <c r="H214" s="18">
        <f t="shared" si="6"/>
        <v>0</v>
      </c>
      <c r="I214" s="18">
        <f t="shared" si="7"/>
        <v>706208</v>
      </c>
    </row>
    <row r="215" spans="1:9">
      <c r="A215" s="10" t="s">
        <v>227</v>
      </c>
      <c r="B215" s="12">
        <v>67712.89</v>
      </c>
      <c r="C215" s="11"/>
      <c r="E215" s="1">
        <f>+IFERROR(VLOOKUP(A215,'[49]TB NEW'!$A$6:$P$714,7,0),0)</f>
        <v>73258.89</v>
      </c>
      <c r="F215" s="1">
        <f>+IFERROR(VLOOKUP(A215,'[49]TB NEW'!$A$6:$P$714,10,0),0)</f>
        <v>0</v>
      </c>
      <c r="G215" s="18">
        <f t="shared" si="6"/>
        <v>-5546</v>
      </c>
      <c r="H215" s="18">
        <f t="shared" si="6"/>
        <v>0</v>
      </c>
      <c r="I215" s="18">
        <f t="shared" si="7"/>
        <v>-5546</v>
      </c>
    </row>
    <row r="216" spans="1:9">
      <c r="A216" s="10" t="s">
        <v>228</v>
      </c>
      <c r="B216" s="11"/>
      <c r="C216" s="12">
        <v>725582</v>
      </c>
      <c r="E216" s="1">
        <f>+IFERROR(VLOOKUP(A216,'[49]TB NEW'!$A$6:$P$714,7,0),0)</f>
        <v>0</v>
      </c>
      <c r="F216" s="1">
        <f>+IFERROR(VLOOKUP(A216,'[49]TB NEW'!$A$6:$P$714,10,0),0)</f>
        <v>5129.3</v>
      </c>
      <c r="G216" s="18">
        <f t="shared" si="6"/>
        <v>0</v>
      </c>
      <c r="H216" s="18">
        <f t="shared" si="6"/>
        <v>720452.7</v>
      </c>
      <c r="I216" s="18">
        <f t="shared" si="7"/>
        <v>720452.7</v>
      </c>
    </row>
    <row r="217" spans="1:9">
      <c r="A217" s="10" t="s">
        <v>479</v>
      </c>
      <c r="B217" s="11"/>
      <c r="C217" s="12">
        <v>36014</v>
      </c>
      <c r="E217" s="1">
        <f>+IFERROR(VLOOKUP(A217,'[49]TB NEW'!$A$6:$P$714,7,0),0)</f>
        <v>0</v>
      </c>
      <c r="F217" s="1">
        <f>+IFERROR(VLOOKUP(A217,'[49]TB NEW'!$A$6:$P$714,10,0),0)</f>
        <v>0</v>
      </c>
      <c r="G217" s="18">
        <f t="shared" si="6"/>
        <v>0</v>
      </c>
      <c r="H217" s="18">
        <f t="shared" si="6"/>
        <v>36014</v>
      </c>
      <c r="I217" s="18">
        <f t="shared" si="7"/>
        <v>36014</v>
      </c>
    </row>
    <row r="218" spans="1:9">
      <c r="A218" s="10" t="s">
        <v>480</v>
      </c>
      <c r="B218" s="11"/>
      <c r="C218" s="12">
        <v>1737970</v>
      </c>
      <c r="E218" s="1">
        <f>+IFERROR(VLOOKUP(A218,'[49]TB NEW'!$A$6:$P$714,7,0),0)</f>
        <v>0</v>
      </c>
      <c r="F218" s="1">
        <f>+IFERROR(VLOOKUP(A218,'[49]TB NEW'!$A$6:$P$714,10,0),0)</f>
        <v>0</v>
      </c>
      <c r="G218" s="18">
        <f t="shared" si="6"/>
        <v>0</v>
      </c>
      <c r="H218" s="18">
        <f t="shared" si="6"/>
        <v>1737970</v>
      </c>
      <c r="I218" s="18">
        <f t="shared" si="7"/>
        <v>1737970</v>
      </c>
    </row>
    <row r="219" spans="1:9">
      <c r="A219" s="10" t="s">
        <v>231</v>
      </c>
      <c r="B219" s="12">
        <v>40000</v>
      </c>
      <c r="C219" s="11"/>
      <c r="E219" s="1">
        <f>+IFERROR(VLOOKUP(A219,'[49]TB NEW'!$A$6:$P$714,7,0),0)</f>
        <v>34000</v>
      </c>
      <c r="F219" s="1">
        <f>+IFERROR(VLOOKUP(A219,'[49]TB NEW'!$A$6:$P$714,10,0),0)</f>
        <v>0</v>
      </c>
      <c r="G219" s="18">
        <f t="shared" si="6"/>
        <v>6000</v>
      </c>
      <c r="H219" s="18">
        <f t="shared" si="6"/>
        <v>0</v>
      </c>
      <c r="I219" s="18">
        <f t="shared" si="7"/>
        <v>6000</v>
      </c>
    </row>
    <row r="220" spans="1:9">
      <c r="A220" s="10" t="s">
        <v>233</v>
      </c>
      <c r="B220" s="11"/>
      <c r="C220" s="12">
        <v>63650</v>
      </c>
      <c r="E220" s="1">
        <f>+IFERROR(VLOOKUP(A220,'[49]TB NEW'!$A$6:$P$714,7,0),0)</f>
        <v>0</v>
      </c>
      <c r="F220" s="1">
        <f>+IFERROR(VLOOKUP(A220,'[49]TB NEW'!$A$6:$P$714,10,0),0)</f>
        <v>22370</v>
      </c>
      <c r="G220" s="18">
        <f t="shared" si="6"/>
        <v>0</v>
      </c>
      <c r="H220" s="18">
        <f t="shared" si="6"/>
        <v>41280</v>
      </c>
      <c r="I220" s="18">
        <f t="shared" si="7"/>
        <v>41280</v>
      </c>
    </row>
    <row r="221" spans="1:9">
      <c r="A221" s="10" t="s">
        <v>234</v>
      </c>
      <c r="B221" s="12">
        <v>52250</v>
      </c>
      <c r="C221" s="11"/>
      <c r="E221" s="1">
        <f>+IFERROR(VLOOKUP(A221,'[49]TB NEW'!$A$6:$P$714,7,0),0)</f>
        <v>112924</v>
      </c>
      <c r="F221" s="1">
        <f>+IFERROR(VLOOKUP(A221,'[49]TB NEW'!$A$6:$P$714,10,0),0)</f>
        <v>0</v>
      </c>
      <c r="G221" s="18">
        <f t="shared" si="6"/>
        <v>-60674</v>
      </c>
      <c r="H221" s="18">
        <f t="shared" si="6"/>
        <v>0</v>
      </c>
      <c r="I221" s="18">
        <f t="shared" si="7"/>
        <v>-60674</v>
      </c>
    </row>
    <row r="222" spans="1:9">
      <c r="A222" s="10" t="s">
        <v>481</v>
      </c>
      <c r="B222" s="12">
        <v>1294449</v>
      </c>
      <c r="C222" s="11"/>
      <c r="E222" s="1">
        <f>+IFERROR(VLOOKUP(A222,'[49]TB NEW'!$A$6:$P$714,7,0),0)</f>
        <v>0</v>
      </c>
      <c r="F222" s="1">
        <f>+IFERROR(VLOOKUP(A222,'[49]TB NEW'!$A$6:$P$714,10,0),0)</f>
        <v>0</v>
      </c>
      <c r="G222" s="18">
        <f t="shared" si="6"/>
        <v>1294449</v>
      </c>
      <c r="H222" s="18">
        <f t="shared" si="6"/>
        <v>0</v>
      </c>
      <c r="I222" s="18">
        <f t="shared" si="7"/>
        <v>1294449</v>
      </c>
    </row>
    <row r="223" spans="1:9">
      <c r="A223" s="10" t="s">
        <v>482</v>
      </c>
      <c r="B223" s="12">
        <v>6132</v>
      </c>
      <c r="C223" s="11"/>
      <c r="E223" s="1">
        <f>+IFERROR(VLOOKUP(A223,'[49]TB NEW'!$A$6:$P$714,7,0),0)</f>
        <v>0</v>
      </c>
      <c r="F223" s="1">
        <f>+IFERROR(VLOOKUP(A223,'[49]TB NEW'!$A$6:$P$714,10,0),0)</f>
        <v>0</v>
      </c>
      <c r="G223" s="18">
        <f t="shared" si="6"/>
        <v>6132</v>
      </c>
      <c r="H223" s="18">
        <f t="shared" si="6"/>
        <v>0</v>
      </c>
      <c r="I223" s="18">
        <f t="shared" si="7"/>
        <v>6132</v>
      </c>
    </row>
    <row r="224" spans="1:9">
      <c r="A224" s="10" t="s">
        <v>235</v>
      </c>
      <c r="B224" s="12">
        <v>28800</v>
      </c>
      <c r="C224" s="11"/>
      <c r="E224" s="1">
        <f>+IFERROR(VLOOKUP(A224,'[49]TB NEW'!$A$6:$P$714,7,0),0)</f>
        <v>53120</v>
      </c>
      <c r="F224" s="1">
        <f>+IFERROR(VLOOKUP(A224,'[49]TB NEW'!$A$6:$P$714,10,0),0)</f>
        <v>0</v>
      </c>
      <c r="G224" s="18">
        <f t="shared" si="6"/>
        <v>-24320</v>
      </c>
      <c r="H224" s="18">
        <f t="shared" si="6"/>
        <v>0</v>
      </c>
      <c r="I224" s="18">
        <f t="shared" si="7"/>
        <v>-24320</v>
      </c>
    </row>
    <row r="225" spans="1:9">
      <c r="A225" s="10" t="s">
        <v>236</v>
      </c>
      <c r="B225" s="12">
        <v>133780</v>
      </c>
      <c r="C225" s="11"/>
      <c r="E225" s="1">
        <f>+IFERROR(VLOOKUP(A225,'[49]TB NEW'!$A$6:$P$714,7,0),0)</f>
        <v>119350</v>
      </c>
      <c r="F225" s="1">
        <f>+IFERROR(VLOOKUP(A225,'[49]TB NEW'!$A$6:$P$714,10,0),0)</f>
        <v>0</v>
      </c>
      <c r="G225" s="18">
        <f t="shared" si="6"/>
        <v>14430</v>
      </c>
      <c r="H225" s="18">
        <f t="shared" si="6"/>
        <v>0</v>
      </c>
      <c r="I225" s="18">
        <f t="shared" si="7"/>
        <v>14430</v>
      </c>
    </row>
    <row r="226" spans="1:9">
      <c r="A226" s="10" t="s">
        <v>237</v>
      </c>
      <c r="B226" s="11"/>
      <c r="C226" s="12">
        <v>10920</v>
      </c>
      <c r="E226" s="1">
        <f>+IFERROR(VLOOKUP(A226,'[49]TB NEW'!$A$6:$P$714,7,0),0)</f>
        <v>0</v>
      </c>
      <c r="F226" s="1">
        <f>+IFERROR(VLOOKUP(A226,'[49]TB NEW'!$A$6:$P$714,10,0),0)</f>
        <v>4500</v>
      </c>
      <c r="G226" s="18">
        <f t="shared" si="6"/>
        <v>0</v>
      </c>
      <c r="H226" s="18">
        <f t="shared" si="6"/>
        <v>6420</v>
      </c>
      <c r="I226" s="18">
        <f t="shared" si="7"/>
        <v>6420</v>
      </c>
    </row>
    <row r="227" spans="1:9">
      <c r="A227" s="10" t="s">
        <v>238</v>
      </c>
      <c r="B227" s="12">
        <v>850872.03</v>
      </c>
      <c r="C227" s="11"/>
      <c r="E227" s="1">
        <f>+IFERROR(VLOOKUP(A227,'[49]TB NEW'!$A$6:$P$714,7,0),0)</f>
        <v>884075.16</v>
      </c>
      <c r="F227" s="1">
        <f>+IFERROR(VLOOKUP(A227,'[49]TB NEW'!$A$6:$P$714,10,0),0)</f>
        <v>0</v>
      </c>
      <c r="G227" s="18">
        <f t="shared" si="6"/>
        <v>-33203.130000000005</v>
      </c>
      <c r="H227" s="18">
        <f t="shared" si="6"/>
        <v>0</v>
      </c>
      <c r="I227" s="18">
        <f t="shared" si="7"/>
        <v>-33203.130000000005</v>
      </c>
    </row>
    <row r="228" spans="1:9">
      <c r="A228" s="10" t="s">
        <v>239</v>
      </c>
      <c r="B228" s="12">
        <v>201085</v>
      </c>
      <c r="C228" s="11"/>
      <c r="E228" s="1">
        <f>+IFERROR(VLOOKUP(A228,'[49]TB NEW'!$A$6:$P$714,7,0),0)</f>
        <v>202053</v>
      </c>
      <c r="F228" s="1">
        <f>+IFERROR(VLOOKUP(A228,'[49]TB NEW'!$A$6:$P$714,10,0),0)</f>
        <v>0</v>
      </c>
      <c r="G228" s="18">
        <f t="shared" si="6"/>
        <v>-968</v>
      </c>
      <c r="H228" s="18">
        <f t="shared" si="6"/>
        <v>0</v>
      </c>
      <c r="I228" s="18">
        <f t="shared" si="7"/>
        <v>-968</v>
      </c>
    </row>
    <row r="229" spans="1:9">
      <c r="A229" s="10" t="s">
        <v>240</v>
      </c>
      <c r="B229" s="12">
        <v>311400</v>
      </c>
      <c r="C229" s="11"/>
      <c r="E229" s="1">
        <f>+IFERROR(VLOOKUP(A229,'[49]TB NEW'!$A$6:$P$714,7,0),0)</f>
        <v>312000</v>
      </c>
      <c r="F229" s="1">
        <f>+IFERROR(VLOOKUP(A229,'[49]TB NEW'!$A$6:$P$714,10,0),0)</f>
        <v>0</v>
      </c>
      <c r="G229" s="18">
        <f t="shared" si="6"/>
        <v>-600</v>
      </c>
      <c r="H229" s="18">
        <f t="shared" si="6"/>
        <v>0</v>
      </c>
      <c r="I229" s="18">
        <f t="shared" si="7"/>
        <v>-600</v>
      </c>
    </row>
    <row r="230" spans="1:9">
      <c r="A230" s="10" t="s">
        <v>241</v>
      </c>
      <c r="B230" s="12">
        <v>72462</v>
      </c>
      <c r="C230" s="11"/>
      <c r="E230" s="1">
        <f>+IFERROR(VLOOKUP(A230,'[49]TB NEW'!$A$6:$P$714,7,0),0)</f>
        <v>104473</v>
      </c>
      <c r="F230" s="1">
        <f>+IFERROR(VLOOKUP(A230,'[49]TB NEW'!$A$6:$P$714,10,0),0)</f>
        <v>0</v>
      </c>
      <c r="G230" s="18">
        <f t="shared" si="6"/>
        <v>-32011</v>
      </c>
      <c r="H230" s="18">
        <f t="shared" si="6"/>
        <v>0</v>
      </c>
      <c r="I230" s="18">
        <f t="shared" si="7"/>
        <v>-32011</v>
      </c>
    </row>
    <row r="231" spans="1:9">
      <c r="A231" s="10" t="s">
        <v>242</v>
      </c>
      <c r="B231" s="12">
        <v>50000</v>
      </c>
      <c r="C231" s="11"/>
      <c r="E231" s="1">
        <f>+IFERROR(VLOOKUP(A231,'[49]TB NEW'!$A$6:$P$714,7,0),0)</f>
        <v>25000</v>
      </c>
      <c r="F231" s="1">
        <f>+IFERROR(VLOOKUP(A231,'[49]TB NEW'!$A$6:$P$714,10,0),0)</f>
        <v>0</v>
      </c>
      <c r="G231" s="18">
        <f t="shared" si="6"/>
        <v>25000</v>
      </c>
      <c r="H231" s="18">
        <f t="shared" si="6"/>
        <v>0</v>
      </c>
      <c r="I231" s="18">
        <f t="shared" si="7"/>
        <v>25000</v>
      </c>
    </row>
    <row r="232" spans="1:9">
      <c r="A232" s="10" t="s">
        <v>244</v>
      </c>
      <c r="B232" s="12">
        <v>172244</v>
      </c>
      <c r="C232" s="11"/>
      <c r="E232" s="1">
        <f>+IFERROR(VLOOKUP(A232,'[49]TB NEW'!$A$6:$P$714,7,0),0)</f>
        <v>361758</v>
      </c>
      <c r="F232" s="1">
        <f>+IFERROR(VLOOKUP(A232,'[49]TB NEW'!$A$6:$P$714,10,0),0)</f>
        <v>0</v>
      </c>
      <c r="G232" s="18">
        <f t="shared" si="6"/>
        <v>-189514</v>
      </c>
      <c r="H232" s="18">
        <f t="shared" si="6"/>
        <v>0</v>
      </c>
      <c r="I232" s="18">
        <f t="shared" si="7"/>
        <v>-189514</v>
      </c>
    </row>
    <row r="233" spans="1:9">
      <c r="A233" s="10" t="s">
        <v>245</v>
      </c>
      <c r="B233" s="12">
        <v>20190</v>
      </c>
      <c r="C233" s="11"/>
      <c r="E233" s="1">
        <f>+IFERROR(VLOOKUP(A233,'[49]TB NEW'!$A$6:$P$714,7,0),0)</f>
        <v>33607</v>
      </c>
      <c r="F233" s="1">
        <f>+IFERROR(VLOOKUP(A233,'[49]TB NEW'!$A$6:$P$714,10,0),0)</f>
        <v>0</v>
      </c>
      <c r="G233" s="18">
        <f t="shared" si="6"/>
        <v>-13417</v>
      </c>
      <c r="H233" s="18">
        <f t="shared" si="6"/>
        <v>0</v>
      </c>
      <c r="I233" s="18">
        <f t="shared" si="7"/>
        <v>-13417</v>
      </c>
    </row>
    <row r="234" spans="1:9">
      <c r="A234" s="10" t="s">
        <v>247</v>
      </c>
      <c r="B234" s="12">
        <v>4231828</v>
      </c>
      <c r="C234" s="11"/>
      <c r="E234" s="1">
        <f>+IFERROR(VLOOKUP(A234,'[49]TB NEW'!$A$6:$P$714,7,0),0)</f>
        <v>852133</v>
      </c>
      <c r="F234" s="1">
        <f>+IFERROR(VLOOKUP(A234,'[49]TB NEW'!$A$6:$P$714,10,0),0)</f>
        <v>0</v>
      </c>
      <c r="G234" s="18">
        <f t="shared" si="6"/>
        <v>3379695</v>
      </c>
      <c r="H234" s="18">
        <f t="shared" si="6"/>
        <v>0</v>
      </c>
      <c r="I234" s="18">
        <f t="shared" si="7"/>
        <v>3379695</v>
      </c>
    </row>
    <row r="235" spans="1:9">
      <c r="A235" s="10" t="s">
        <v>483</v>
      </c>
      <c r="B235" s="12">
        <v>11016.55</v>
      </c>
      <c r="C235" s="11"/>
      <c r="E235" s="1">
        <f>+IFERROR(VLOOKUP(A235,'[49]TB NEW'!$A$6:$P$714,7,0),0)</f>
        <v>0</v>
      </c>
      <c r="F235" s="1">
        <f>+IFERROR(VLOOKUP(A235,'[49]TB NEW'!$A$6:$P$714,10,0),0)</f>
        <v>0</v>
      </c>
      <c r="G235" s="18">
        <f t="shared" si="6"/>
        <v>11016.55</v>
      </c>
      <c r="H235" s="18">
        <f t="shared" si="6"/>
        <v>0</v>
      </c>
      <c r="I235" s="18">
        <f t="shared" si="7"/>
        <v>11016.55</v>
      </c>
    </row>
    <row r="236" spans="1:9">
      <c r="A236" s="10" t="s">
        <v>248</v>
      </c>
      <c r="B236" s="12">
        <v>1550</v>
      </c>
      <c r="C236" s="11"/>
      <c r="E236" s="1">
        <f>+IFERROR(VLOOKUP(A236,'[49]TB NEW'!$A$6:$P$714,7,0),0)</f>
        <v>2650</v>
      </c>
      <c r="F236" s="1">
        <f>+IFERROR(VLOOKUP(A236,'[49]TB NEW'!$A$6:$P$714,10,0),0)</f>
        <v>0</v>
      </c>
      <c r="G236" s="18">
        <f t="shared" si="6"/>
        <v>-1100</v>
      </c>
      <c r="H236" s="18">
        <f t="shared" si="6"/>
        <v>0</v>
      </c>
      <c r="I236" s="18">
        <f t="shared" si="7"/>
        <v>-1100</v>
      </c>
    </row>
    <row r="237" spans="1:9">
      <c r="A237" s="10" t="s">
        <v>484</v>
      </c>
      <c r="B237" s="12">
        <v>150</v>
      </c>
      <c r="C237" s="11"/>
      <c r="E237" s="1">
        <f>+IFERROR(VLOOKUP(A237,'[49]TB NEW'!$A$6:$P$714,7,0),0)</f>
        <v>0</v>
      </c>
      <c r="F237" s="1">
        <f>+IFERROR(VLOOKUP(A237,'[49]TB NEW'!$A$6:$P$714,10,0),0)</f>
        <v>0</v>
      </c>
      <c r="G237" s="18">
        <f t="shared" si="6"/>
        <v>150</v>
      </c>
      <c r="H237" s="18">
        <f t="shared" si="6"/>
        <v>0</v>
      </c>
      <c r="I237" s="18">
        <f t="shared" si="7"/>
        <v>150</v>
      </c>
    </row>
    <row r="238" spans="1:9">
      <c r="A238" s="10" t="s">
        <v>485</v>
      </c>
      <c r="B238" s="12">
        <v>1042</v>
      </c>
      <c r="C238" s="11"/>
      <c r="E238" s="1">
        <f>+IFERROR(VLOOKUP(A238,'[49]TB NEW'!$A$6:$P$714,7,0),0)</f>
        <v>0</v>
      </c>
      <c r="F238" s="1">
        <f>+IFERROR(VLOOKUP(A238,'[49]TB NEW'!$A$6:$P$714,10,0),0)</f>
        <v>0</v>
      </c>
      <c r="G238" s="18">
        <f t="shared" si="6"/>
        <v>1042</v>
      </c>
      <c r="H238" s="18">
        <f t="shared" si="6"/>
        <v>0</v>
      </c>
      <c r="I238" s="18">
        <f t="shared" si="7"/>
        <v>1042</v>
      </c>
    </row>
    <row r="239" spans="1:9">
      <c r="A239" s="10" t="s">
        <v>250</v>
      </c>
      <c r="B239" s="12">
        <v>118292</v>
      </c>
      <c r="C239" s="11"/>
      <c r="E239" s="1">
        <f>+IFERROR(VLOOKUP(A239,'[49]TB NEW'!$A$6:$P$714,7,0),0)</f>
        <v>447749</v>
      </c>
      <c r="F239" s="1">
        <f>+IFERROR(VLOOKUP(A239,'[49]TB NEW'!$A$6:$P$714,10,0),0)</f>
        <v>0</v>
      </c>
      <c r="G239" s="18">
        <f t="shared" si="6"/>
        <v>-329457</v>
      </c>
      <c r="H239" s="18">
        <f t="shared" si="6"/>
        <v>0</v>
      </c>
      <c r="I239" s="18">
        <f t="shared" si="7"/>
        <v>-329457</v>
      </c>
    </row>
    <row r="240" spans="1:9">
      <c r="A240" s="10" t="s">
        <v>486</v>
      </c>
      <c r="B240" s="12">
        <v>60000</v>
      </c>
      <c r="C240" s="11"/>
      <c r="E240" s="1">
        <f>+IFERROR(VLOOKUP(A240,'[49]TB NEW'!$A$6:$P$714,7,0),0)</f>
        <v>0</v>
      </c>
      <c r="F240" s="1">
        <f>+IFERROR(VLOOKUP(A240,'[49]TB NEW'!$A$6:$P$714,10,0),0)</f>
        <v>0</v>
      </c>
      <c r="G240" s="18">
        <f t="shared" si="6"/>
        <v>60000</v>
      </c>
      <c r="H240" s="18">
        <f t="shared" si="6"/>
        <v>0</v>
      </c>
      <c r="I240" s="18">
        <f t="shared" si="7"/>
        <v>60000</v>
      </c>
    </row>
    <row r="241" spans="1:9">
      <c r="A241" s="10" t="s">
        <v>251</v>
      </c>
      <c r="B241" s="12">
        <v>210000</v>
      </c>
      <c r="C241" s="11"/>
      <c r="E241" s="1">
        <f>+IFERROR(VLOOKUP(A241,'[49]TB NEW'!$A$6:$P$714,7,0),0)</f>
        <v>210000</v>
      </c>
      <c r="F241" s="1">
        <f>+IFERROR(VLOOKUP(A241,'[49]TB NEW'!$A$6:$P$714,10,0),0)</f>
        <v>0</v>
      </c>
      <c r="G241" s="18">
        <f t="shared" si="6"/>
        <v>0</v>
      </c>
      <c r="H241" s="18">
        <f t="shared" si="6"/>
        <v>0</v>
      </c>
      <c r="I241" s="18">
        <f t="shared" si="7"/>
        <v>0</v>
      </c>
    </row>
    <row r="242" spans="1:9">
      <c r="A242" s="10" t="s">
        <v>253</v>
      </c>
      <c r="B242" s="11"/>
      <c r="C242" s="12">
        <v>535495</v>
      </c>
      <c r="E242" s="1">
        <f>+IFERROR(VLOOKUP(A242,'[49]TB NEW'!$A$6:$P$714,7,0),0)</f>
        <v>0</v>
      </c>
      <c r="F242" s="1">
        <f>+IFERROR(VLOOKUP(A242,'[49]TB NEW'!$A$6:$P$714,10,0),0)</f>
        <v>497880</v>
      </c>
      <c r="G242" s="18">
        <f t="shared" si="6"/>
        <v>0</v>
      </c>
      <c r="H242" s="18">
        <f t="shared" si="6"/>
        <v>37615</v>
      </c>
      <c r="I242" s="18">
        <f t="shared" si="7"/>
        <v>37615</v>
      </c>
    </row>
    <row r="243" spans="1:9">
      <c r="A243" s="10" t="s">
        <v>254</v>
      </c>
      <c r="B243" s="12">
        <v>6832723.8099999996</v>
      </c>
      <c r="C243" s="11"/>
      <c r="E243" s="1">
        <f>+IFERROR(VLOOKUP(A243,'[49]TB NEW'!$A$6:$P$714,7,0),0)</f>
        <v>7311227.8099999996</v>
      </c>
      <c r="F243" s="1">
        <f>+IFERROR(VLOOKUP(A243,'[49]TB NEW'!$A$6:$P$714,10,0),0)</f>
        <v>0</v>
      </c>
      <c r="G243" s="18">
        <f t="shared" si="6"/>
        <v>-478504</v>
      </c>
      <c r="H243" s="18">
        <f t="shared" si="6"/>
        <v>0</v>
      </c>
      <c r="I243" s="18">
        <f t="shared" si="7"/>
        <v>-478504</v>
      </c>
    </row>
    <row r="244" spans="1:9">
      <c r="A244" s="10" t="s">
        <v>256</v>
      </c>
      <c r="B244" s="11"/>
      <c r="C244" s="12">
        <v>34438</v>
      </c>
      <c r="E244" s="1">
        <f>+IFERROR(VLOOKUP(A244,'[49]TB NEW'!$A$6:$P$714,7,0),0)</f>
        <v>0</v>
      </c>
      <c r="F244" s="1">
        <f>+IFERROR(VLOOKUP(A244,'[49]TB NEW'!$A$6:$P$714,10,0),0)</f>
        <v>3172</v>
      </c>
      <c r="G244" s="18">
        <f t="shared" si="6"/>
        <v>0</v>
      </c>
      <c r="H244" s="18">
        <f t="shared" si="6"/>
        <v>31266</v>
      </c>
      <c r="I244" s="18">
        <f t="shared" si="7"/>
        <v>31266</v>
      </c>
    </row>
    <row r="245" spans="1:9">
      <c r="A245" s="10" t="s">
        <v>257</v>
      </c>
      <c r="B245" s="11"/>
      <c r="C245" s="12">
        <v>244340</v>
      </c>
      <c r="E245" s="1">
        <f>+IFERROR(VLOOKUP(A245,'[49]TB NEW'!$A$6:$P$714,7,0),0)</f>
        <v>0</v>
      </c>
      <c r="F245" s="1">
        <f>+IFERROR(VLOOKUP(A245,'[49]TB NEW'!$A$6:$P$714,10,0),0)</f>
        <v>274949</v>
      </c>
      <c r="G245" s="18">
        <f t="shared" si="6"/>
        <v>0</v>
      </c>
      <c r="H245" s="18">
        <f t="shared" si="6"/>
        <v>-30609</v>
      </c>
      <c r="I245" s="18">
        <f t="shared" si="7"/>
        <v>-30609</v>
      </c>
    </row>
    <row r="246" spans="1:9">
      <c r="A246" s="10" t="s">
        <v>258</v>
      </c>
      <c r="B246" s="11"/>
      <c r="C246" s="12">
        <v>407871</v>
      </c>
      <c r="E246" s="1">
        <f>+IFERROR(VLOOKUP(A246,'[49]TB NEW'!$A$6:$P$714,7,0),0)</f>
        <v>0</v>
      </c>
      <c r="F246" s="1">
        <f>+IFERROR(VLOOKUP(A246,'[49]TB NEW'!$A$6:$P$714,10,0),0)</f>
        <v>423402</v>
      </c>
      <c r="G246" s="18">
        <f t="shared" si="6"/>
        <v>0</v>
      </c>
      <c r="H246" s="18">
        <f t="shared" si="6"/>
        <v>-15531</v>
      </c>
      <c r="I246" s="18">
        <f t="shared" si="7"/>
        <v>-15531</v>
      </c>
    </row>
    <row r="247" spans="1:9">
      <c r="A247" s="10" t="s">
        <v>259</v>
      </c>
      <c r="B247" s="11"/>
      <c r="C247" s="12">
        <v>544798</v>
      </c>
      <c r="E247" s="1">
        <f>+IFERROR(VLOOKUP(A247,'[49]TB NEW'!$A$6:$P$714,7,0),0)</f>
        <v>0</v>
      </c>
      <c r="F247" s="1">
        <f>+IFERROR(VLOOKUP(A247,'[49]TB NEW'!$A$6:$P$714,10,0),0)</f>
        <v>523713</v>
      </c>
      <c r="G247" s="18">
        <f t="shared" si="6"/>
        <v>0</v>
      </c>
      <c r="H247" s="18">
        <f t="shared" si="6"/>
        <v>21085</v>
      </c>
      <c r="I247" s="18">
        <f t="shared" si="7"/>
        <v>21085</v>
      </c>
    </row>
    <row r="248" spans="1:9">
      <c r="A248" s="10" t="s">
        <v>487</v>
      </c>
      <c r="B248" s="12">
        <v>75</v>
      </c>
      <c r="C248" s="11"/>
      <c r="E248" s="1">
        <f>+IFERROR(VLOOKUP(A248,'[49]TB NEW'!$A$6:$P$714,7,0),0)</f>
        <v>0</v>
      </c>
      <c r="F248" s="1">
        <f>+IFERROR(VLOOKUP(A248,'[49]TB NEW'!$A$6:$P$714,10,0),0)</f>
        <v>0</v>
      </c>
      <c r="G248" s="18">
        <f t="shared" si="6"/>
        <v>75</v>
      </c>
      <c r="H248" s="18">
        <f t="shared" si="6"/>
        <v>0</v>
      </c>
      <c r="I248" s="18">
        <f t="shared" si="7"/>
        <v>75</v>
      </c>
    </row>
    <row r="249" spans="1:9">
      <c r="A249" s="10" t="s">
        <v>488</v>
      </c>
      <c r="B249" s="12">
        <v>3000</v>
      </c>
      <c r="C249" s="11"/>
      <c r="E249" s="1">
        <f>+IFERROR(VLOOKUP(A249,'[49]TB NEW'!$A$6:$P$714,7,0),0)</f>
        <v>0</v>
      </c>
      <c r="F249" s="1">
        <f>+IFERROR(VLOOKUP(A249,'[49]TB NEW'!$A$6:$P$714,10,0),0)</f>
        <v>0</v>
      </c>
      <c r="G249" s="18">
        <f t="shared" si="6"/>
        <v>3000</v>
      </c>
      <c r="H249" s="18">
        <f t="shared" si="6"/>
        <v>0</v>
      </c>
      <c r="I249" s="18">
        <f t="shared" si="7"/>
        <v>3000</v>
      </c>
    </row>
    <row r="250" spans="1:9">
      <c r="A250" s="10" t="s">
        <v>489</v>
      </c>
      <c r="B250" s="12">
        <v>19678</v>
      </c>
      <c r="C250" s="11"/>
      <c r="E250" s="1">
        <f>+IFERROR(VLOOKUP(A250,'[49]TB NEW'!$A$6:$P$714,7,0),0)</f>
        <v>0</v>
      </c>
      <c r="F250" s="1">
        <f>+IFERROR(VLOOKUP(A250,'[49]TB NEW'!$A$6:$P$714,10,0),0)</f>
        <v>0</v>
      </c>
      <c r="G250" s="18">
        <f t="shared" si="6"/>
        <v>19678</v>
      </c>
      <c r="H250" s="18">
        <f t="shared" si="6"/>
        <v>0</v>
      </c>
      <c r="I250" s="18">
        <f t="shared" si="7"/>
        <v>19678</v>
      </c>
    </row>
    <row r="251" spans="1:9">
      <c r="A251" s="10" t="s">
        <v>490</v>
      </c>
      <c r="B251" s="12">
        <v>75</v>
      </c>
      <c r="C251" s="11"/>
      <c r="E251" s="1">
        <f>+IFERROR(VLOOKUP(A251,'[49]TB NEW'!$A$6:$P$714,7,0),0)</f>
        <v>0</v>
      </c>
      <c r="F251" s="1">
        <f>+IFERROR(VLOOKUP(A251,'[49]TB NEW'!$A$6:$P$714,10,0),0)</f>
        <v>0</v>
      </c>
      <c r="G251" s="18">
        <f t="shared" si="6"/>
        <v>75</v>
      </c>
      <c r="H251" s="18">
        <f t="shared" si="6"/>
        <v>0</v>
      </c>
      <c r="I251" s="18">
        <f t="shared" si="7"/>
        <v>75</v>
      </c>
    </row>
    <row r="252" spans="1:9">
      <c r="A252" s="10" t="s">
        <v>260</v>
      </c>
      <c r="B252" s="12">
        <v>33000</v>
      </c>
      <c r="C252" s="11"/>
      <c r="E252" s="1">
        <f>+IFERROR(VLOOKUP(A252,'[49]TB NEW'!$A$6:$P$714,7,0),0)</f>
        <v>281000</v>
      </c>
      <c r="F252" s="1">
        <f>+IFERROR(VLOOKUP(A252,'[49]TB NEW'!$A$6:$P$714,10,0),0)</f>
        <v>0</v>
      </c>
      <c r="G252" s="18">
        <f t="shared" si="6"/>
        <v>-248000</v>
      </c>
      <c r="H252" s="18">
        <f t="shared" si="6"/>
        <v>0</v>
      </c>
      <c r="I252" s="18">
        <f t="shared" si="7"/>
        <v>-248000</v>
      </c>
    </row>
    <row r="253" spans="1:9">
      <c r="A253" s="10" t="s">
        <v>261</v>
      </c>
      <c r="B253" s="12">
        <v>213053551.43000001</v>
      </c>
      <c r="C253" s="11"/>
      <c r="E253" s="1">
        <f>+IFERROR(VLOOKUP(A253,'[49]TB NEW'!$A$6:$P$714,7,0),0)</f>
        <v>217294094.62</v>
      </c>
      <c r="F253" s="1">
        <f>+IFERROR(VLOOKUP(A253,'[49]TB NEW'!$A$6:$P$714,10,0),0)</f>
        <v>0</v>
      </c>
      <c r="G253" s="18">
        <f t="shared" si="6"/>
        <v>-4240543.1899999976</v>
      </c>
      <c r="H253" s="18">
        <f t="shared" si="6"/>
        <v>0</v>
      </c>
      <c r="I253" s="18">
        <f t="shared" si="7"/>
        <v>-4240543.1899999976</v>
      </c>
    </row>
    <row r="254" spans="1:9">
      <c r="A254" s="10" t="s">
        <v>263</v>
      </c>
      <c r="B254" s="12">
        <v>90444</v>
      </c>
      <c r="C254" s="11"/>
      <c r="E254" s="1">
        <f>+IFERROR(VLOOKUP(A254,'[49]TB NEW'!$A$6:$P$714,7,0),0)</f>
        <v>161998</v>
      </c>
      <c r="F254" s="1">
        <f>+IFERROR(VLOOKUP(A254,'[49]TB NEW'!$A$6:$P$714,10,0),0)</f>
        <v>0</v>
      </c>
      <c r="G254" s="18">
        <f t="shared" si="6"/>
        <v>-71554</v>
      </c>
      <c r="H254" s="18">
        <f t="shared" si="6"/>
        <v>0</v>
      </c>
      <c r="I254" s="18">
        <f t="shared" si="7"/>
        <v>-71554</v>
      </c>
    </row>
    <row r="255" spans="1:9">
      <c r="A255" s="10" t="s">
        <v>264</v>
      </c>
      <c r="B255" s="11"/>
      <c r="C255" s="12">
        <v>6010670</v>
      </c>
      <c r="E255" s="1">
        <f>+IFERROR(VLOOKUP(A255,'[49]TB NEW'!$A$6:$P$714,7,0),0)</f>
        <v>0</v>
      </c>
      <c r="F255" s="1">
        <f>+IFERROR(VLOOKUP(A255,'[49]TB NEW'!$A$6:$P$714,10,0),0)</f>
        <v>4956590</v>
      </c>
      <c r="G255" s="18">
        <f t="shared" si="6"/>
        <v>0</v>
      </c>
      <c r="H255" s="18">
        <f t="shared" si="6"/>
        <v>1054080</v>
      </c>
      <c r="I255" s="18">
        <f t="shared" si="7"/>
        <v>1054080</v>
      </c>
    </row>
    <row r="256" spans="1:9">
      <c r="A256" s="10" t="s">
        <v>491</v>
      </c>
      <c r="B256" s="11"/>
      <c r="C256" s="12">
        <v>205269</v>
      </c>
      <c r="E256" s="1">
        <f>+IFERROR(VLOOKUP(A256,'[49]TB NEW'!$A$6:$P$714,7,0),0)</f>
        <v>0</v>
      </c>
      <c r="F256" s="1">
        <f>+IFERROR(VLOOKUP(A256,'[49]TB NEW'!$A$6:$P$714,10,0),0)</f>
        <v>0</v>
      </c>
      <c r="G256" s="18">
        <f t="shared" si="6"/>
        <v>0</v>
      </c>
      <c r="H256" s="18">
        <f t="shared" si="6"/>
        <v>205269</v>
      </c>
      <c r="I256" s="18">
        <f t="shared" si="7"/>
        <v>205269</v>
      </c>
    </row>
    <row r="257" spans="1:9">
      <c r="A257" s="10" t="s">
        <v>492</v>
      </c>
      <c r="B257" s="11"/>
      <c r="C257" s="12">
        <v>51416</v>
      </c>
      <c r="E257" s="1">
        <f>+IFERROR(VLOOKUP(A257,'[49]TB NEW'!$A$6:$P$714,7,0),0)</f>
        <v>0</v>
      </c>
      <c r="F257" s="1">
        <f>+IFERROR(VLOOKUP(A257,'[49]TB NEW'!$A$6:$P$714,10,0),0)</f>
        <v>0</v>
      </c>
      <c r="G257" s="18">
        <f t="shared" si="6"/>
        <v>0</v>
      </c>
      <c r="H257" s="18">
        <f t="shared" si="6"/>
        <v>51416</v>
      </c>
      <c r="I257" s="18">
        <f t="shared" si="7"/>
        <v>51416</v>
      </c>
    </row>
    <row r="258" spans="1:9">
      <c r="A258" s="10" t="s">
        <v>493</v>
      </c>
      <c r="B258" s="12">
        <v>23000</v>
      </c>
      <c r="C258" s="11"/>
      <c r="E258" s="1">
        <f>+IFERROR(VLOOKUP(A258,'[49]TB NEW'!$A$6:$P$714,7,0),0)</f>
        <v>0</v>
      </c>
      <c r="F258" s="1">
        <f>+IFERROR(VLOOKUP(A258,'[49]TB NEW'!$A$6:$P$714,10,0),0)</f>
        <v>0</v>
      </c>
      <c r="G258" s="18">
        <f t="shared" si="6"/>
        <v>23000</v>
      </c>
      <c r="H258" s="18">
        <f t="shared" si="6"/>
        <v>0</v>
      </c>
      <c r="I258" s="18">
        <f t="shared" si="7"/>
        <v>23000</v>
      </c>
    </row>
    <row r="259" spans="1:9">
      <c r="A259" s="10" t="s">
        <v>494</v>
      </c>
      <c r="B259" s="11"/>
      <c r="C259" s="12">
        <v>409053</v>
      </c>
      <c r="E259" s="1">
        <f>+IFERROR(VLOOKUP(A259,'[49]TB NEW'!$A$6:$P$714,7,0),0)</f>
        <v>0</v>
      </c>
      <c r="F259" s="1">
        <f>+IFERROR(VLOOKUP(A259,'[49]TB NEW'!$A$6:$P$714,10,0),0)</f>
        <v>0</v>
      </c>
      <c r="G259" s="18">
        <f t="shared" si="6"/>
        <v>0</v>
      </c>
      <c r="H259" s="18">
        <f t="shared" si="6"/>
        <v>409053</v>
      </c>
      <c r="I259" s="18">
        <f t="shared" si="7"/>
        <v>409053</v>
      </c>
    </row>
    <row r="260" spans="1:9">
      <c r="A260" s="10" t="s">
        <v>266</v>
      </c>
      <c r="B260" s="11"/>
      <c r="C260" s="12">
        <v>72740</v>
      </c>
      <c r="E260" s="1">
        <f>+IFERROR(VLOOKUP(A260,'[49]TB NEW'!$A$6:$P$714,7,0),0)</f>
        <v>0</v>
      </c>
      <c r="F260" s="1">
        <f>+IFERROR(VLOOKUP(A260,'[49]TB NEW'!$A$6:$P$714,10,0),0)</f>
        <v>38030</v>
      </c>
      <c r="G260" s="18">
        <f t="shared" si="6"/>
        <v>0</v>
      </c>
      <c r="H260" s="18">
        <f t="shared" si="6"/>
        <v>34710</v>
      </c>
      <c r="I260" s="18">
        <f t="shared" si="7"/>
        <v>34710</v>
      </c>
    </row>
    <row r="261" spans="1:9">
      <c r="A261" s="10" t="s">
        <v>267</v>
      </c>
      <c r="B261" s="12">
        <v>493128</v>
      </c>
      <c r="C261" s="11"/>
      <c r="E261" s="1">
        <f>+IFERROR(VLOOKUP(A261,'[49]TB NEW'!$A$6:$P$714,7,0),0)</f>
        <v>282060</v>
      </c>
      <c r="F261" s="1">
        <f>+IFERROR(VLOOKUP(A261,'[49]TB NEW'!$A$6:$P$714,10,0),0)</f>
        <v>0</v>
      </c>
      <c r="G261" s="18">
        <f t="shared" si="6"/>
        <v>211068</v>
      </c>
      <c r="H261" s="18">
        <f t="shared" si="6"/>
        <v>0</v>
      </c>
      <c r="I261" s="18">
        <f t="shared" si="7"/>
        <v>211068</v>
      </c>
    </row>
    <row r="262" spans="1:9">
      <c r="A262" s="10" t="s">
        <v>495</v>
      </c>
      <c r="B262" s="11"/>
      <c r="C262" s="12">
        <v>7758</v>
      </c>
      <c r="E262" s="1">
        <f>+IFERROR(VLOOKUP(A262,'[49]TB NEW'!$A$6:$P$714,7,0),0)</f>
        <v>0</v>
      </c>
      <c r="F262" s="1">
        <f>+IFERROR(VLOOKUP(A262,'[49]TB NEW'!$A$6:$P$714,10,0),0)</f>
        <v>0</v>
      </c>
      <c r="G262" s="18">
        <f t="shared" si="6"/>
        <v>0</v>
      </c>
      <c r="H262" s="18">
        <f t="shared" si="6"/>
        <v>7758</v>
      </c>
      <c r="I262" s="18">
        <f t="shared" si="7"/>
        <v>7758</v>
      </c>
    </row>
    <row r="263" spans="1:9">
      <c r="A263" s="10" t="s">
        <v>269</v>
      </c>
      <c r="B263" s="12">
        <v>1259000</v>
      </c>
      <c r="C263" s="11"/>
      <c r="E263" s="1">
        <f>+IFERROR(VLOOKUP(A263,'[49]TB NEW'!$A$6:$P$714,7,0),0)</f>
        <v>509760.8</v>
      </c>
      <c r="F263" s="1">
        <f>+IFERROR(VLOOKUP(A263,'[49]TB NEW'!$A$6:$P$714,10,0),0)</f>
        <v>0</v>
      </c>
      <c r="G263" s="18">
        <f t="shared" si="6"/>
        <v>749239.2</v>
      </c>
      <c r="H263" s="18">
        <f t="shared" si="6"/>
        <v>0</v>
      </c>
      <c r="I263" s="18">
        <f t="shared" si="7"/>
        <v>749239.2</v>
      </c>
    </row>
    <row r="264" spans="1:9">
      <c r="A264" s="10" t="s">
        <v>496</v>
      </c>
      <c r="B264" s="12">
        <v>5000</v>
      </c>
      <c r="C264" s="11"/>
      <c r="E264" s="1">
        <f>+IFERROR(VLOOKUP(A264,'[49]TB NEW'!$A$6:$P$714,7,0),0)</f>
        <v>0</v>
      </c>
      <c r="F264" s="1">
        <f>+IFERROR(VLOOKUP(A264,'[49]TB NEW'!$A$6:$P$714,10,0),0)</f>
        <v>0</v>
      </c>
      <c r="G264" s="18">
        <f t="shared" si="6"/>
        <v>5000</v>
      </c>
      <c r="H264" s="18">
        <f t="shared" si="6"/>
        <v>0</v>
      </c>
      <c r="I264" s="18">
        <f t="shared" si="7"/>
        <v>5000</v>
      </c>
    </row>
    <row r="265" spans="1:9">
      <c r="A265" s="10" t="s">
        <v>270</v>
      </c>
      <c r="B265" s="11"/>
      <c r="C265" s="12">
        <v>54521566.57</v>
      </c>
      <c r="E265" s="1">
        <f>+IFERROR(VLOOKUP(A265,'[49]TB NEW'!$A$6:$P$714,7,0),0)</f>
        <v>0</v>
      </c>
      <c r="F265" s="1">
        <f>+IFERROR(VLOOKUP(A265,'[49]TB NEW'!$A$6:$P$714,10,0),0)</f>
        <v>112979368.51000001</v>
      </c>
      <c r="G265" s="18">
        <f t="shared" si="6"/>
        <v>0</v>
      </c>
      <c r="H265" s="18">
        <f t="shared" si="6"/>
        <v>-58457801.940000005</v>
      </c>
      <c r="I265" s="18">
        <f t="shared" si="7"/>
        <v>-58457801.940000005</v>
      </c>
    </row>
    <row r="266" spans="1:9">
      <c r="A266" s="10" t="s">
        <v>272</v>
      </c>
      <c r="B266" s="11"/>
      <c r="C266" s="12">
        <v>9443500</v>
      </c>
      <c r="E266" s="1">
        <f>+IFERROR(VLOOKUP(A266,'[49]TB NEW'!$A$6:$P$714,7,0),0)</f>
        <v>0</v>
      </c>
      <c r="F266" s="1">
        <f>+IFERROR(VLOOKUP(A266,'[49]TB NEW'!$A$6:$P$714,10,0),0)</f>
        <v>9443500</v>
      </c>
      <c r="G266" s="18">
        <f t="shared" si="6"/>
        <v>0</v>
      </c>
      <c r="H266" s="18">
        <f t="shared" si="6"/>
        <v>0</v>
      </c>
      <c r="I266" s="18">
        <f t="shared" si="7"/>
        <v>0</v>
      </c>
    </row>
    <row r="267" spans="1:9">
      <c r="A267" s="10" t="s">
        <v>273</v>
      </c>
      <c r="B267" s="12">
        <v>1175170</v>
      </c>
      <c r="C267" s="11"/>
      <c r="E267" s="1">
        <f>+IFERROR(VLOOKUP(A267,'[49]TB NEW'!$A$6:$P$714,7,0),0)</f>
        <v>1171704</v>
      </c>
      <c r="F267" s="1">
        <f>+IFERROR(VLOOKUP(A267,'[49]TB NEW'!$A$6:$P$714,10,0),0)</f>
        <v>0</v>
      </c>
      <c r="G267" s="18">
        <f t="shared" ref="G267:H330" si="8">+B267-E267</f>
        <v>3466</v>
      </c>
      <c r="H267" s="18">
        <f t="shared" si="8"/>
        <v>0</v>
      </c>
      <c r="I267" s="18">
        <f t="shared" ref="I267:I330" si="9">+G267+H267</f>
        <v>3466</v>
      </c>
    </row>
    <row r="268" spans="1:9">
      <c r="A268" s="10" t="s">
        <v>274</v>
      </c>
      <c r="B268" s="11"/>
      <c r="C268" s="12">
        <v>4285449</v>
      </c>
      <c r="E268" s="1">
        <f>+IFERROR(VLOOKUP(A268,'[49]TB NEW'!$A$6:$P$714,7,0),0)</f>
        <v>0</v>
      </c>
      <c r="F268" s="1">
        <f>+IFERROR(VLOOKUP(A268,'[49]TB NEW'!$A$6:$P$714,10,0),0)</f>
        <v>5425598</v>
      </c>
      <c r="G268" s="18">
        <f t="shared" si="8"/>
        <v>0</v>
      </c>
      <c r="H268" s="18">
        <f t="shared" si="8"/>
        <v>-1140149</v>
      </c>
      <c r="I268" s="18">
        <f t="shared" si="9"/>
        <v>-1140149</v>
      </c>
    </row>
    <row r="269" spans="1:9">
      <c r="A269" s="10" t="s">
        <v>275</v>
      </c>
      <c r="B269" s="11"/>
      <c r="C269" s="12">
        <v>1578365</v>
      </c>
      <c r="E269" s="1">
        <f>+IFERROR(VLOOKUP(A269,'[49]TB NEW'!$A$6:$P$714,7,0),0)</f>
        <v>0</v>
      </c>
      <c r="F269" s="1">
        <f>+IFERROR(VLOOKUP(A269,'[49]TB NEW'!$A$6:$P$714,10,0),0)</f>
        <v>3329480</v>
      </c>
      <c r="G269" s="18">
        <f t="shared" si="8"/>
        <v>0</v>
      </c>
      <c r="H269" s="18">
        <f t="shared" si="8"/>
        <v>-1751115</v>
      </c>
      <c r="I269" s="18">
        <f t="shared" si="9"/>
        <v>-1751115</v>
      </c>
    </row>
    <row r="270" spans="1:9">
      <c r="A270" s="10" t="s">
        <v>276</v>
      </c>
      <c r="B270" s="11"/>
      <c r="C270" s="12">
        <v>846428</v>
      </c>
      <c r="E270" s="1">
        <f>+IFERROR(VLOOKUP(A270,'[49]TB NEW'!$A$6:$P$714,7,0),0)</f>
        <v>0</v>
      </c>
      <c r="F270" s="1">
        <f>+IFERROR(VLOOKUP(A270,'[49]TB NEW'!$A$6:$P$714,10,0),0)</f>
        <v>939587</v>
      </c>
      <c r="G270" s="18">
        <f t="shared" si="8"/>
        <v>0</v>
      </c>
      <c r="H270" s="18">
        <f t="shared" si="8"/>
        <v>-93159</v>
      </c>
      <c r="I270" s="18">
        <f t="shared" si="9"/>
        <v>-93159</v>
      </c>
    </row>
    <row r="271" spans="1:9">
      <c r="A271" s="10" t="s">
        <v>277</v>
      </c>
      <c r="B271" s="11"/>
      <c r="C271" s="12">
        <v>14761635</v>
      </c>
      <c r="E271" s="1">
        <f>+IFERROR(VLOOKUP(A271,'[49]TB NEW'!$A$6:$P$714,7,0),0)</f>
        <v>0</v>
      </c>
      <c r="F271" s="1">
        <f>+IFERROR(VLOOKUP(A271,'[49]TB NEW'!$A$6:$P$714,10,0),0)</f>
        <v>16501483</v>
      </c>
      <c r="G271" s="18">
        <f t="shared" si="8"/>
        <v>0</v>
      </c>
      <c r="H271" s="18">
        <f t="shared" si="8"/>
        <v>-1739848</v>
      </c>
      <c r="I271" s="18">
        <f t="shared" si="9"/>
        <v>-1739848</v>
      </c>
    </row>
    <row r="272" spans="1:9">
      <c r="A272" s="10" t="s">
        <v>278</v>
      </c>
      <c r="B272" s="11"/>
      <c r="C272" s="12">
        <v>379192</v>
      </c>
      <c r="E272" s="1">
        <f>+IFERROR(VLOOKUP(A272,'[49]TB NEW'!$A$6:$P$714,7,0),0)</f>
        <v>0</v>
      </c>
      <c r="F272" s="1">
        <f>+IFERROR(VLOOKUP(A272,'[49]TB NEW'!$A$6:$P$714,10,0),0)</f>
        <v>379192</v>
      </c>
      <c r="G272" s="18">
        <f t="shared" si="8"/>
        <v>0</v>
      </c>
      <c r="H272" s="18">
        <f t="shared" si="8"/>
        <v>0</v>
      </c>
      <c r="I272" s="18">
        <f t="shared" si="9"/>
        <v>0</v>
      </c>
    </row>
    <row r="273" spans="1:9">
      <c r="A273" s="10" t="s">
        <v>279</v>
      </c>
      <c r="B273" s="11"/>
      <c r="C273" s="12">
        <v>1420188</v>
      </c>
      <c r="E273" s="1">
        <f>+IFERROR(VLOOKUP(A273,'[49]TB NEW'!$A$6:$P$714,7,0),0)</f>
        <v>0</v>
      </c>
      <c r="F273" s="1">
        <f>+IFERROR(VLOOKUP(A273,'[49]TB NEW'!$A$6:$P$714,10,0),0)</f>
        <v>1476352</v>
      </c>
      <c r="G273" s="18">
        <f t="shared" si="8"/>
        <v>0</v>
      </c>
      <c r="H273" s="18">
        <f t="shared" si="8"/>
        <v>-56164</v>
      </c>
      <c r="I273" s="18">
        <f t="shared" si="9"/>
        <v>-56164</v>
      </c>
    </row>
    <row r="274" spans="1:9">
      <c r="A274" s="10" t="s">
        <v>280</v>
      </c>
      <c r="B274" s="11"/>
      <c r="C274" s="12">
        <v>729742</v>
      </c>
      <c r="E274" s="1">
        <f>+IFERROR(VLOOKUP(A274,'[49]TB NEW'!$A$6:$P$714,7,0),0)</f>
        <v>0</v>
      </c>
      <c r="F274" s="1">
        <f>+IFERROR(VLOOKUP(A274,'[49]TB NEW'!$A$6:$P$714,10,0),0)</f>
        <v>754646</v>
      </c>
      <c r="G274" s="18">
        <f t="shared" si="8"/>
        <v>0</v>
      </c>
      <c r="H274" s="18">
        <f t="shared" si="8"/>
        <v>-24904</v>
      </c>
      <c r="I274" s="18">
        <f t="shared" si="9"/>
        <v>-24904</v>
      </c>
    </row>
    <row r="275" spans="1:9">
      <c r="A275" s="10" t="s">
        <v>281</v>
      </c>
      <c r="B275" s="11"/>
      <c r="C275" s="12">
        <v>79329687</v>
      </c>
      <c r="E275" s="1">
        <f>+IFERROR(VLOOKUP(A275,'[49]TB NEW'!$A$6:$P$714,7,0),0)</f>
        <v>0</v>
      </c>
      <c r="F275" s="1">
        <f>+IFERROR(VLOOKUP(A275,'[49]TB NEW'!$A$6:$P$714,10,0),0)</f>
        <v>92463659</v>
      </c>
      <c r="G275" s="18">
        <f t="shared" si="8"/>
        <v>0</v>
      </c>
      <c r="H275" s="18">
        <f t="shared" si="8"/>
        <v>-13133972</v>
      </c>
      <c r="I275" s="18">
        <f t="shared" si="9"/>
        <v>-13133972</v>
      </c>
    </row>
    <row r="276" spans="1:9">
      <c r="A276" s="10" t="s">
        <v>282</v>
      </c>
      <c r="B276" s="11"/>
      <c r="C276" s="12">
        <v>1238122</v>
      </c>
      <c r="E276" s="1">
        <f>+IFERROR(VLOOKUP(A276,'[49]TB NEW'!$A$6:$P$714,7,0),0)</f>
        <v>0</v>
      </c>
      <c r="F276" s="1">
        <f>+IFERROR(VLOOKUP(A276,'[49]TB NEW'!$A$6:$P$714,10,0),0)</f>
        <v>1478520</v>
      </c>
      <c r="G276" s="18">
        <f t="shared" si="8"/>
        <v>0</v>
      </c>
      <c r="H276" s="18">
        <f t="shared" si="8"/>
        <v>-240398</v>
      </c>
      <c r="I276" s="18">
        <f t="shared" si="9"/>
        <v>-240398</v>
      </c>
    </row>
    <row r="277" spans="1:9">
      <c r="A277" s="10" t="s">
        <v>284</v>
      </c>
      <c r="B277" s="12">
        <v>122153</v>
      </c>
      <c r="C277" s="11"/>
      <c r="E277" s="1">
        <f>+IFERROR(VLOOKUP(A277,'[49]TB NEW'!$A$6:$P$714,7,0),0)</f>
        <v>122153</v>
      </c>
      <c r="F277" s="1">
        <f>+IFERROR(VLOOKUP(A277,'[49]TB NEW'!$A$6:$P$714,10,0),0)</f>
        <v>0</v>
      </c>
      <c r="G277" s="18">
        <f t="shared" si="8"/>
        <v>0</v>
      </c>
      <c r="H277" s="18">
        <f t="shared" si="8"/>
        <v>0</v>
      </c>
      <c r="I277" s="18">
        <f t="shared" si="9"/>
        <v>0</v>
      </c>
    </row>
    <row r="278" spans="1:9">
      <c r="A278" s="10" t="s">
        <v>285</v>
      </c>
      <c r="B278" s="12">
        <v>271788</v>
      </c>
      <c r="C278" s="11"/>
      <c r="E278" s="1">
        <f>+IFERROR(VLOOKUP(A278,'[49]TB NEW'!$A$6:$P$714,7,0),0)</f>
        <v>271788</v>
      </c>
      <c r="F278" s="1">
        <f>+IFERROR(VLOOKUP(A278,'[49]TB NEW'!$A$6:$P$714,10,0),0)</f>
        <v>0</v>
      </c>
      <c r="G278" s="18">
        <f t="shared" si="8"/>
        <v>0</v>
      </c>
      <c r="H278" s="18">
        <f t="shared" si="8"/>
        <v>0</v>
      </c>
      <c r="I278" s="18">
        <f t="shared" si="9"/>
        <v>0</v>
      </c>
    </row>
    <row r="279" spans="1:9">
      <c r="A279" s="10" t="s">
        <v>286</v>
      </c>
      <c r="B279" s="12">
        <v>139678</v>
      </c>
      <c r="C279" s="11"/>
      <c r="E279" s="1">
        <f>+IFERROR(VLOOKUP(A279,'[49]TB NEW'!$A$6:$P$714,7,0),0)</f>
        <v>139678</v>
      </c>
      <c r="F279" s="1">
        <f>+IFERROR(VLOOKUP(A279,'[49]TB NEW'!$A$6:$P$714,10,0),0)</f>
        <v>0</v>
      </c>
      <c r="G279" s="18">
        <f t="shared" si="8"/>
        <v>0</v>
      </c>
      <c r="H279" s="18">
        <f t="shared" si="8"/>
        <v>0</v>
      </c>
      <c r="I279" s="18">
        <f t="shared" si="9"/>
        <v>0</v>
      </c>
    </row>
    <row r="280" spans="1:9">
      <c r="A280" s="10" t="s">
        <v>287</v>
      </c>
      <c r="B280" s="12">
        <v>34285</v>
      </c>
      <c r="C280" s="11"/>
      <c r="E280" s="1">
        <f>+IFERROR(VLOOKUP(A280,'[49]TB NEW'!$A$6:$P$714,7,0),0)</f>
        <v>34285</v>
      </c>
      <c r="F280" s="1">
        <f>+IFERROR(VLOOKUP(A280,'[49]TB NEW'!$A$6:$P$714,10,0),0)</f>
        <v>0</v>
      </c>
      <c r="G280" s="18">
        <f t="shared" si="8"/>
        <v>0</v>
      </c>
      <c r="H280" s="18">
        <f t="shared" si="8"/>
        <v>0</v>
      </c>
      <c r="I280" s="18">
        <f t="shared" si="9"/>
        <v>0</v>
      </c>
    </row>
    <row r="281" spans="1:9">
      <c r="A281" s="10" t="s">
        <v>288</v>
      </c>
      <c r="B281" s="11"/>
      <c r="C281" s="12">
        <v>3142182.7</v>
      </c>
      <c r="E281" s="1">
        <f>+IFERROR(VLOOKUP(A281,'[49]TB NEW'!$A$6:$P$714,7,0),0)</f>
        <v>0</v>
      </c>
      <c r="F281" s="1">
        <f>+IFERROR(VLOOKUP(A281,'[49]TB NEW'!$A$6:$P$714,10,0),0)</f>
        <v>3212027.7</v>
      </c>
      <c r="G281" s="18">
        <f t="shared" si="8"/>
        <v>0</v>
      </c>
      <c r="H281" s="18">
        <f t="shared" si="8"/>
        <v>-69845</v>
      </c>
      <c r="I281" s="18">
        <f t="shared" si="9"/>
        <v>-69845</v>
      </c>
    </row>
    <row r="282" spans="1:9">
      <c r="A282" s="10" t="s">
        <v>289</v>
      </c>
      <c r="B282" s="12">
        <v>10799666</v>
      </c>
      <c r="C282" s="11"/>
      <c r="E282" s="1">
        <f>+IFERROR(VLOOKUP(A282,'[49]TB NEW'!$A$6:$P$714,7,0),0)</f>
        <v>12216191</v>
      </c>
      <c r="F282" s="1">
        <f>+IFERROR(VLOOKUP(A282,'[49]TB NEW'!$A$6:$P$714,10,0),0)</f>
        <v>0</v>
      </c>
      <c r="G282" s="18">
        <f t="shared" si="8"/>
        <v>-1416525</v>
      </c>
      <c r="H282" s="18">
        <f t="shared" si="8"/>
        <v>0</v>
      </c>
      <c r="I282" s="18">
        <f t="shared" si="9"/>
        <v>-1416525</v>
      </c>
    </row>
    <row r="283" spans="1:9">
      <c r="A283" s="10" t="s">
        <v>497</v>
      </c>
      <c r="B283" s="11"/>
      <c r="C283" s="12">
        <v>83195</v>
      </c>
      <c r="E283" s="1">
        <f>+IFERROR(VLOOKUP(A283,'[49]TB NEW'!$A$6:$P$714,7,0),0)</f>
        <v>0</v>
      </c>
      <c r="F283" s="1">
        <f>+IFERROR(VLOOKUP(A283,'[49]TB NEW'!$A$6:$P$714,10,0),0)</f>
        <v>0</v>
      </c>
      <c r="G283" s="18">
        <f t="shared" si="8"/>
        <v>0</v>
      </c>
      <c r="H283" s="18">
        <f t="shared" si="8"/>
        <v>83195</v>
      </c>
      <c r="I283" s="18">
        <f t="shared" si="9"/>
        <v>83195</v>
      </c>
    </row>
    <row r="284" spans="1:9">
      <c r="A284" s="10" t="s">
        <v>290</v>
      </c>
      <c r="B284" s="11"/>
      <c r="C284" s="12">
        <v>49210</v>
      </c>
      <c r="E284" s="1">
        <f>+IFERROR(VLOOKUP(A284,'[49]TB NEW'!$A$6:$P$714,7,0),0)</f>
        <v>0</v>
      </c>
      <c r="F284" s="1">
        <f>+IFERROR(VLOOKUP(A284,'[49]TB NEW'!$A$6:$P$714,10,0),0)</f>
        <v>26432</v>
      </c>
      <c r="G284" s="18">
        <f t="shared" si="8"/>
        <v>0</v>
      </c>
      <c r="H284" s="18">
        <f t="shared" si="8"/>
        <v>22778</v>
      </c>
      <c r="I284" s="18">
        <f t="shared" si="9"/>
        <v>22778</v>
      </c>
    </row>
    <row r="285" spans="1:9">
      <c r="A285" s="10" t="s">
        <v>291</v>
      </c>
      <c r="B285" s="12">
        <v>2499845</v>
      </c>
      <c r="C285" s="11"/>
      <c r="E285" s="1">
        <f>+IFERROR(VLOOKUP(A285,'[49]TB NEW'!$A$6:$P$714,7,0),0)</f>
        <v>593738</v>
      </c>
      <c r="F285" s="1">
        <f>+IFERROR(VLOOKUP(A285,'[49]TB NEW'!$A$6:$P$714,10,0),0)</f>
        <v>0</v>
      </c>
      <c r="G285" s="18">
        <f t="shared" si="8"/>
        <v>1906107</v>
      </c>
      <c r="H285" s="18">
        <f t="shared" si="8"/>
        <v>0</v>
      </c>
      <c r="I285" s="18">
        <f t="shared" si="9"/>
        <v>1906107</v>
      </c>
    </row>
    <row r="286" spans="1:9">
      <c r="A286" s="10" t="s">
        <v>292</v>
      </c>
      <c r="B286" s="12">
        <v>7296726</v>
      </c>
      <c r="C286" s="11"/>
      <c r="E286" s="1">
        <f>+IFERROR(VLOOKUP(A286,'[49]TB NEW'!$A$6:$P$714,7,0),0)</f>
        <v>9789530</v>
      </c>
      <c r="F286" s="1">
        <f>+IFERROR(VLOOKUP(A286,'[49]TB NEW'!$A$6:$P$714,10,0),0)</f>
        <v>0</v>
      </c>
      <c r="G286" s="18">
        <f t="shared" si="8"/>
        <v>-2492804</v>
      </c>
      <c r="H286" s="18">
        <f t="shared" si="8"/>
        <v>0</v>
      </c>
      <c r="I286" s="18">
        <f t="shared" si="9"/>
        <v>-2492804</v>
      </c>
    </row>
    <row r="287" spans="1:9">
      <c r="A287" s="10" t="s">
        <v>293</v>
      </c>
      <c r="B287" s="12">
        <v>5508.97</v>
      </c>
      <c r="C287" s="11"/>
      <c r="E287" s="1">
        <f>+IFERROR(VLOOKUP(A287,'[49]TB NEW'!$A$6:$P$714,7,0),0)</f>
        <v>570000</v>
      </c>
      <c r="F287" s="1">
        <f>+IFERROR(VLOOKUP(A287,'[49]TB NEW'!$A$6:$P$714,10,0),0)</f>
        <v>0</v>
      </c>
      <c r="G287" s="18">
        <f t="shared" si="8"/>
        <v>-564491.03</v>
      </c>
      <c r="H287" s="18">
        <f t="shared" si="8"/>
        <v>0</v>
      </c>
      <c r="I287" s="18">
        <f t="shared" si="9"/>
        <v>-564491.03</v>
      </c>
    </row>
    <row r="288" spans="1:9">
      <c r="A288" s="10" t="s">
        <v>498</v>
      </c>
      <c r="B288" s="12">
        <v>2736</v>
      </c>
      <c r="C288" s="11"/>
      <c r="E288" s="1">
        <f>+IFERROR(VLOOKUP(A288,'[49]TB NEW'!$A$6:$P$714,7,0),0)</f>
        <v>0</v>
      </c>
      <c r="F288" s="1">
        <f>+IFERROR(VLOOKUP(A288,'[49]TB NEW'!$A$6:$P$714,10,0),0)</f>
        <v>0</v>
      </c>
      <c r="G288" s="18">
        <f t="shared" si="8"/>
        <v>2736</v>
      </c>
      <c r="H288" s="18">
        <f t="shared" si="8"/>
        <v>0</v>
      </c>
      <c r="I288" s="18">
        <f t="shared" si="9"/>
        <v>2736</v>
      </c>
    </row>
    <row r="289" spans="1:9">
      <c r="A289" s="10" t="s">
        <v>294</v>
      </c>
      <c r="B289" s="12">
        <v>2400</v>
      </c>
      <c r="C289" s="11"/>
      <c r="E289" s="1">
        <f>+IFERROR(VLOOKUP(A289,'[49]TB NEW'!$A$6:$P$714,7,0),0)</f>
        <v>107000</v>
      </c>
      <c r="F289" s="1">
        <f>+IFERROR(VLOOKUP(A289,'[49]TB NEW'!$A$6:$P$714,10,0),0)</f>
        <v>0</v>
      </c>
      <c r="G289" s="18">
        <f t="shared" si="8"/>
        <v>-104600</v>
      </c>
      <c r="H289" s="18">
        <f t="shared" si="8"/>
        <v>0</v>
      </c>
      <c r="I289" s="18">
        <f t="shared" si="9"/>
        <v>-104600</v>
      </c>
    </row>
    <row r="290" spans="1:9">
      <c r="A290" s="10" t="s">
        <v>499</v>
      </c>
      <c r="B290" s="12">
        <v>4142911</v>
      </c>
      <c r="C290" s="11"/>
      <c r="E290" s="1">
        <f>+IFERROR(VLOOKUP(A290,'[49]TB NEW'!$A$6:$P$714,7,0),0)</f>
        <v>0</v>
      </c>
      <c r="F290" s="1">
        <f>+IFERROR(VLOOKUP(A290,'[49]TB NEW'!$A$6:$P$714,10,0),0)</f>
        <v>0</v>
      </c>
      <c r="G290" s="18">
        <f t="shared" si="8"/>
        <v>4142911</v>
      </c>
      <c r="H290" s="18">
        <f t="shared" si="8"/>
        <v>0</v>
      </c>
      <c r="I290" s="18">
        <f t="shared" si="9"/>
        <v>4142911</v>
      </c>
    </row>
    <row r="291" spans="1:9">
      <c r="A291" s="10" t="s">
        <v>295</v>
      </c>
      <c r="B291" s="12">
        <v>8891025.9000000004</v>
      </c>
      <c r="C291" s="11"/>
      <c r="E291" s="1">
        <f>+IFERROR(VLOOKUP(A291,'[49]TB NEW'!$A$6:$P$714,7,0),0)</f>
        <v>9155866.8599999994</v>
      </c>
      <c r="F291" s="1">
        <f>+IFERROR(VLOOKUP(A291,'[49]TB NEW'!$A$6:$P$714,10,0),0)</f>
        <v>0</v>
      </c>
      <c r="G291" s="18">
        <f t="shared" si="8"/>
        <v>-264840.95999999903</v>
      </c>
      <c r="H291" s="18">
        <f t="shared" si="8"/>
        <v>0</v>
      </c>
      <c r="I291" s="18">
        <f t="shared" si="9"/>
        <v>-264840.95999999903</v>
      </c>
    </row>
    <row r="292" spans="1:9">
      <c r="A292" s="10" t="s">
        <v>296</v>
      </c>
      <c r="B292" s="11"/>
      <c r="C292" s="12">
        <v>6496829.5</v>
      </c>
      <c r="E292" s="1">
        <f>+IFERROR(VLOOKUP(A292,'[49]TB NEW'!$A$6:$P$714,7,0),0)</f>
        <v>0</v>
      </c>
      <c r="F292" s="1">
        <f>+IFERROR(VLOOKUP(A292,'[49]TB NEW'!$A$6:$P$714,10,0),0)</f>
        <v>8142548.5</v>
      </c>
      <c r="G292" s="18">
        <f t="shared" si="8"/>
        <v>0</v>
      </c>
      <c r="H292" s="18">
        <f t="shared" si="8"/>
        <v>-1645719</v>
      </c>
      <c r="I292" s="18">
        <f t="shared" si="9"/>
        <v>-1645719</v>
      </c>
    </row>
    <row r="293" spans="1:9">
      <c r="A293" s="10" t="s">
        <v>500</v>
      </c>
      <c r="B293" s="12">
        <v>3000</v>
      </c>
      <c r="C293" s="11"/>
      <c r="E293" s="1">
        <f>+IFERROR(VLOOKUP(A293,'[49]TB NEW'!$A$6:$P$714,7,0),0)</f>
        <v>0</v>
      </c>
      <c r="F293" s="1">
        <f>+IFERROR(VLOOKUP(A293,'[49]TB NEW'!$A$6:$P$714,10,0),0)</f>
        <v>0</v>
      </c>
      <c r="G293" s="18">
        <f t="shared" si="8"/>
        <v>3000</v>
      </c>
      <c r="H293" s="18">
        <f t="shared" si="8"/>
        <v>0</v>
      </c>
      <c r="I293" s="18">
        <f t="shared" si="9"/>
        <v>3000</v>
      </c>
    </row>
    <row r="294" spans="1:9">
      <c r="A294" s="10" t="s">
        <v>297</v>
      </c>
      <c r="B294" s="11"/>
      <c r="C294" s="12">
        <v>1495</v>
      </c>
      <c r="E294" s="1">
        <f>+IFERROR(VLOOKUP(A294,'[49]TB NEW'!$A$6:$P$714,7,0),0)</f>
        <v>0</v>
      </c>
      <c r="F294" s="1">
        <f>+IFERROR(VLOOKUP(A294,'[49]TB NEW'!$A$6:$P$714,10,0),0)</f>
        <v>1495</v>
      </c>
      <c r="G294" s="18">
        <f t="shared" si="8"/>
        <v>0</v>
      </c>
      <c r="H294" s="18">
        <f t="shared" si="8"/>
        <v>0</v>
      </c>
      <c r="I294" s="18">
        <f t="shared" si="9"/>
        <v>0</v>
      </c>
    </row>
    <row r="295" spans="1:9">
      <c r="A295" s="10" t="s">
        <v>501</v>
      </c>
      <c r="B295" s="11"/>
      <c r="C295" s="12">
        <v>51975</v>
      </c>
      <c r="E295" s="1">
        <f>+IFERROR(VLOOKUP(A295,'[49]TB NEW'!$A$6:$P$714,7,0),0)</f>
        <v>0</v>
      </c>
      <c r="F295" s="1">
        <f>+IFERROR(VLOOKUP(A295,'[49]TB NEW'!$A$6:$P$714,10,0),0)</f>
        <v>0</v>
      </c>
      <c r="G295" s="18">
        <f t="shared" si="8"/>
        <v>0</v>
      </c>
      <c r="H295" s="18">
        <f t="shared" si="8"/>
        <v>51975</v>
      </c>
      <c r="I295" s="18">
        <f t="shared" si="9"/>
        <v>51975</v>
      </c>
    </row>
    <row r="296" spans="1:9">
      <c r="A296" s="10" t="s">
        <v>502</v>
      </c>
      <c r="B296" s="11"/>
      <c r="C296" s="12">
        <v>38712</v>
      </c>
      <c r="E296" s="1">
        <f>+IFERROR(VLOOKUP(A296,'[49]TB NEW'!$A$6:$P$714,7,0),0)</f>
        <v>0</v>
      </c>
      <c r="F296" s="1">
        <f>+IFERROR(VLOOKUP(A296,'[49]TB NEW'!$A$6:$P$714,10,0),0)</f>
        <v>0</v>
      </c>
      <c r="G296" s="18">
        <f t="shared" si="8"/>
        <v>0</v>
      </c>
      <c r="H296" s="18">
        <f t="shared" si="8"/>
        <v>38712</v>
      </c>
      <c r="I296" s="18">
        <f t="shared" si="9"/>
        <v>38712</v>
      </c>
    </row>
    <row r="297" spans="1:9">
      <c r="A297" s="10" t="s">
        <v>299</v>
      </c>
      <c r="B297" s="12">
        <v>154717</v>
      </c>
      <c r="C297" s="11"/>
      <c r="E297" s="1">
        <f>+IFERROR(VLOOKUP(A297,'[49]TB NEW'!$A$6:$P$714,7,0),0)</f>
        <v>154260</v>
      </c>
      <c r="F297" s="1">
        <f>+IFERROR(VLOOKUP(A297,'[49]TB NEW'!$A$6:$P$714,10,0),0)</f>
        <v>0</v>
      </c>
      <c r="G297" s="18">
        <f t="shared" si="8"/>
        <v>457</v>
      </c>
      <c r="H297" s="18">
        <f t="shared" si="8"/>
        <v>0</v>
      </c>
      <c r="I297" s="18">
        <f t="shared" si="9"/>
        <v>457</v>
      </c>
    </row>
    <row r="298" spans="1:9">
      <c r="A298" s="10" t="s">
        <v>503</v>
      </c>
      <c r="B298" s="11"/>
      <c r="C298" s="12">
        <v>55544</v>
      </c>
      <c r="E298" s="1">
        <f>+IFERROR(VLOOKUP(A298,'[49]TB NEW'!$A$6:$P$714,7,0),0)</f>
        <v>0</v>
      </c>
      <c r="F298" s="1">
        <f>+IFERROR(VLOOKUP(A298,'[49]TB NEW'!$A$6:$P$714,10,0),0)</f>
        <v>0</v>
      </c>
      <c r="G298" s="18">
        <f t="shared" si="8"/>
        <v>0</v>
      </c>
      <c r="H298" s="18">
        <f t="shared" si="8"/>
        <v>55544</v>
      </c>
      <c r="I298" s="18">
        <f t="shared" si="9"/>
        <v>55544</v>
      </c>
    </row>
    <row r="299" spans="1:9">
      <c r="A299" s="10" t="s">
        <v>301</v>
      </c>
      <c r="B299" s="12">
        <v>4086715</v>
      </c>
      <c r="C299" s="11"/>
      <c r="E299" s="1">
        <f>+IFERROR(VLOOKUP(A299,'[49]TB NEW'!$A$6:$P$714,7,0),0)</f>
        <v>4167429</v>
      </c>
      <c r="F299" s="1">
        <f>+IFERROR(VLOOKUP(A299,'[49]TB NEW'!$A$6:$P$714,10,0),0)</f>
        <v>0</v>
      </c>
      <c r="G299" s="18">
        <f t="shared" si="8"/>
        <v>-80714</v>
      </c>
      <c r="H299" s="18">
        <f t="shared" si="8"/>
        <v>0</v>
      </c>
      <c r="I299" s="18">
        <f t="shared" si="9"/>
        <v>-80714</v>
      </c>
    </row>
    <row r="300" spans="1:9">
      <c r="A300" s="10" t="s">
        <v>303</v>
      </c>
      <c r="B300" s="11"/>
      <c r="C300" s="12">
        <v>30618.93</v>
      </c>
      <c r="E300" s="1">
        <f>+IFERROR(VLOOKUP(A300,'[49]TB NEW'!$A$6:$P$714,7,0),0)</f>
        <v>0</v>
      </c>
      <c r="F300" s="1">
        <f>+IFERROR(VLOOKUP(A300,'[49]TB NEW'!$A$6:$P$714,10,0),0)</f>
        <v>86133.93</v>
      </c>
      <c r="G300" s="18">
        <f t="shared" si="8"/>
        <v>0</v>
      </c>
      <c r="H300" s="18">
        <f t="shared" si="8"/>
        <v>-55514.999999999993</v>
      </c>
      <c r="I300" s="18">
        <f t="shared" si="9"/>
        <v>-55514.999999999993</v>
      </c>
    </row>
    <row r="301" spans="1:9">
      <c r="A301" s="10" t="s">
        <v>304</v>
      </c>
      <c r="B301" s="11"/>
      <c r="C301" s="12">
        <v>38005.120000000003</v>
      </c>
      <c r="E301" s="1">
        <f>+IFERROR(VLOOKUP(A301,'[49]TB NEW'!$A$6:$P$714,7,0),0)</f>
        <v>0</v>
      </c>
      <c r="F301" s="1">
        <f>+IFERROR(VLOOKUP(A301,'[49]TB NEW'!$A$6:$P$714,10,0),0)</f>
        <v>105913.12</v>
      </c>
      <c r="G301" s="18">
        <f t="shared" si="8"/>
        <v>0</v>
      </c>
      <c r="H301" s="18">
        <f t="shared" si="8"/>
        <v>-67908</v>
      </c>
      <c r="I301" s="18">
        <f t="shared" si="9"/>
        <v>-67908</v>
      </c>
    </row>
    <row r="302" spans="1:9">
      <c r="A302" s="10" t="s">
        <v>306</v>
      </c>
      <c r="B302" s="11"/>
      <c r="C302" s="12">
        <v>30618.93</v>
      </c>
      <c r="E302" s="1">
        <f>+IFERROR(VLOOKUP(A302,'[49]TB NEW'!$A$6:$P$714,7,0),0)</f>
        <v>0</v>
      </c>
      <c r="F302" s="1">
        <f>+IFERROR(VLOOKUP(A302,'[49]TB NEW'!$A$6:$P$714,10,0),0)</f>
        <v>66503.929999999993</v>
      </c>
      <c r="G302" s="18">
        <f t="shared" si="8"/>
        <v>0</v>
      </c>
      <c r="H302" s="18">
        <f t="shared" si="8"/>
        <v>-35884.999999999993</v>
      </c>
      <c r="I302" s="18">
        <f t="shared" si="9"/>
        <v>-35884.999999999993</v>
      </c>
    </row>
    <row r="303" spans="1:9">
      <c r="A303" s="10" t="s">
        <v>308</v>
      </c>
      <c r="B303" s="12">
        <v>4573846</v>
      </c>
      <c r="C303" s="11"/>
      <c r="E303" s="1">
        <f>+IFERROR(VLOOKUP(A303,'[49]TB NEW'!$A$6:$P$714,7,0),0)</f>
        <v>4800000</v>
      </c>
      <c r="F303" s="1">
        <f>+IFERROR(VLOOKUP(A303,'[49]TB NEW'!$A$6:$P$714,10,0),0)</f>
        <v>0</v>
      </c>
      <c r="G303" s="18">
        <f t="shared" si="8"/>
        <v>-226154</v>
      </c>
      <c r="H303" s="18">
        <f t="shared" si="8"/>
        <v>0</v>
      </c>
      <c r="I303" s="18">
        <f t="shared" si="9"/>
        <v>-226154</v>
      </c>
    </row>
    <row r="304" spans="1:9">
      <c r="A304" s="10" t="s">
        <v>309</v>
      </c>
      <c r="B304" s="12">
        <v>236391</v>
      </c>
      <c r="C304" s="11"/>
      <c r="E304" s="1">
        <f>+IFERROR(VLOOKUP(A304,'[49]TB NEW'!$A$6:$P$714,7,0),0)</f>
        <v>336559</v>
      </c>
      <c r="F304" s="1">
        <f>+IFERROR(VLOOKUP(A304,'[49]TB NEW'!$A$6:$P$714,10,0),0)</f>
        <v>0</v>
      </c>
      <c r="G304" s="18">
        <f t="shared" si="8"/>
        <v>-100168</v>
      </c>
      <c r="H304" s="18">
        <f t="shared" si="8"/>
        <v>0</v>
      </c>
      <c r="I304" s="18">
        <f t="shared" si="9"/>
        <v>-100168</v>
      </c>
    </row>
    <row r="305" spans="1:9">
      <c r="A305" s="10" t="s">
        <v>310</v>
      </c>
      <c r="B305" s="12">
        <v>591277.98</v>
      </c>
      <c r="C305" s="11"/>
      <c r="E305" s="1">
        <f>+IFERROR(VLOOKUP(A305,'[49]TB NEW'!$A$6:$P$714,7,0),0)</f>
        <v>409071.26</v>
      </c>
      <c r="F305" s="1">
        <f>+IFERROR(VLOOKUP(A305,'[49]TB NEW'!$A$6:$P$714,10,0),0)</f>
        <v>0</v>
      </c>
      <c r="G305" s="18">
        <f t="shared" si="8"/>
        <v>182206.71999999997</v>
      </c>
      <c r="H305" s="18">
        <f t="shared" si="8"/>
        <v>0</v>
      </c>
      <c r="I305" s="18">
        <f t="shared" si="9"/>
        <v>182206.71999999997</v>
      </c>
    </row>
    <row r="306" spans="1:9">
      <c r="A306" s="10" t="s">
        <v>311</v>
      </c>
      <c r="B306" s="12">
        <v>2155685.31</v>
      </c>
      <c r="C306" s="11"/>
      <c r="E306" s="1">
        <f>+IFERROR(VLOOKUP(A306,'[49]TB NEW'!$A$6:$P$714,7,0),0)</f>
        <v>954273.6</v>
      </c>
      <c r="F306" s="1">
        <f>+IFERROR(VLOOKUP(A306,'[49]TB NEW'!$A$6:$P$714,10,0),0)</f>
        <v>0</v>
      </c>
      <c r="G306" s="18">
        <f t="shared" si="8"/>
        <v>1201411.71</v>
      </c>
      <c r="H306" s="18">
        <f t="shared" si="8"/>
        <v>0</v>
      </c>
      <c r="I306" s="18">
        <f t="shared" si="9"/>
        <v>1201411.71</v>
      </c>
    </row>
    <row r="307" spans="1:9">
      <c r="A307" s="10" t="s">
        <v>312</v>
      </c>
      <c r="B307" s="11"/>
      <c r="C307" s="12">
        <v>50905004</v>
      </c>
      <c r="E307" s="1">
        <f>+IFERROR(VLOOKUP(A307,'[49]TB NEW'!$A$6:$P$714,7,0),0)</f>
        <v>0</v>
      </c>
      <c r="F307" s="1">
        <f>+IFERROR(VLOOKUP(A307,'[49]TB NEW'!$A$6:$P$714,10,0),0)</f>
        <v>50905004</v>
      </c>
      <c r="G307" s="18">
        <f t="shared" si="8"/>
        <v>0</v>
      </c>
      <c r="H307" s="18">
        <f t="shared" si="8"/>
        <v>0</v>
      </c>
      <c r="I307" s="18">
        <f t="shared" si="9"/>
        <v>0</v>
      </c>
    </row>
    <row r="308" spans="1:9">
      <c r="A308" s="10" t="s">
        <v>313</v>
      </c>
      <c r="B308" s="12">
        <v>62500</v>
      </c>
      <c r="C308" s="11"/>
      <c r="E308" s="1">
        <f>+IFERROR(VLOOKUP(A308,'[49]TB NEW'!$A$6:$P$714,7,0),0)</f>
        <v>24500</v>
      </c>
      <c r="F308" s="1">
        <f>+IFERROR(VLOOKUP(A308,'[49]TB NEW'!$A$6:$P$714,10,0),0)</f>
        <v>0</v>
      </c>
      <c r="G308" s="18">
        <f t="shared" si="8"/>
        <v>38000</v>
      </c>
      <c r="H308" s="18">
        <f t="shared" si="8"/>
        <v>0</v>
      </c>
      <c r="I308" s="18">
        <f t="shared" si="9"/>
        <v>38000</v>
      </c>
    </row>
    <row r="309" spans="1:9">
      <c r="A309" s="10" t="s">
        <v>314</v>
      </c>
      <c r="B309" s="11"/>
      <c r="C309" s="12">
        <v>187572</v>
      </c>
      <c r="E309" s="1">
        <f>+IFERROR(VLOOKUP(A309,'[49]TB NEW'!$A$6:$P$714,7,0),0)</f>
        <v>0</v>
      </c>
      <c r="F309" s="1">
        <f>+IFERROR(VLOOKUP(A309,'[49]TB NEW'!$A$6:$P$714,10,0),0)</f>
        <v>1127420</v>
      </c>
      <c r="G309" s="18">
        <f t="shared" si="8"/>
        <v>0</v>
      </c>
      <c r="H309" s="18">
        <f t="shared" si="8"/>
        <v>-939848</v>
      </c>
      <c r="I309" s="18">
        <f t="shared" si="9"/>
        <v>-939848</v>
      </c>
    </row>
    <row r="310" spans="1:9">
      <c r="A310" s="10" t="s">
        <v>315</v>
      </c>
      <c r="B310" s="11"/>
      <c r="C310" s="12">
        <v>313.79000000000002</v>
      </c>
      <c r="E310" s="1">
        <f>+IFERROR(VLOOKUP(A310,'[49]TB NEW'!$A$6:$P$714,7,0),0)</f>
        <v>0</v>
      </c>
      <c r="F310" s="1">
        <f>+IFERROR(VLOOKUP(A310,'[49]TB NEW'!$A$6:$P$714,10,0),0)</f>
        <v>483.63</v>
      </c>
      <c r="G310" s="18">
        <f t="shared" si="8"/>
        <v>0</v>
      </c>
      <c r="H310" s="18">
        <f t="shared" si="8"/>
        <v>-169.83999999999997</v>
      </c>
      <c r="I310" s="18">
        <f t="shared" si="9"/>
        <v>-169.83999999999997</v>
      </c>
    </row>
    <row r="311" spans="1:9">
      <c r="A311" s="10" t="s">
        <v>504</v>
      </c>
      <c r="B311" s="11"/>
      <c r="C311" s="12">
        <v>9980</v>
      </c>
      <c r="E311" s="1">
        <f>+IFERROR(VLOOKUP(A311,'[49]TB NEW'!$A$6:$P$714,7,0),0)</f>
        <v>0</v>
      </c>
      <c r="F311" s="1">
        <f>+IFERROR(VLOOKUP(A311,'[49]TB NEW'!$A$6:$P$714,10,0),0)</f>
        <v>0</v>
      </c>
      <c r="G311" s="18">
        <f t="shared" si="8"/>
        <v>0</v>
      </c>
      <c r="H311" s="18">
        <f t="shared" si="8"/>
        <v>9980</v>
      </c>
      <c r="I311" s="18">
        <f t="shared" si="9"/>
        <v>9980</v>
      </c>
    </row>
    <row r="312" spans="1:9">
      <c r="A312" s="10" t="s">
        <v>316</v>
      </c>
      <c r="B312" s="12">
        <v>20109440</v>
      </c>
      <c r="C312" s="11"/>
      <c r="E312" s="1">
        <f>+IFERROR(VLOOKUP(A312,'[49]TB NEW'!$A$6:$P$714,7,0),0)</f>
        <v>22989382</v>
      </c>
      <c r="F312" s="1">
        <f>+IFERROR(VLOOKUP(A312,'[49]TB NEW'!$A$6:$P$714,10,0),0)</f>
        <v>0</v>
      </c>
      <c r="G312" s="18">
        <f t="shared" si="8"/>
        <v>-2879942</v>
      </c>
      <c r="H312" s="18">
        <f t="shared" si="8"/>
        <v>0</v>
      </c>
      <c r="I312" s="18">
        <f t="shared" si="9"/>
        <v>-2879942</v>
      </c>
    </row>
    <row r="313" spans="1:9">
      <c r="A313" s="10" t="s">
        <v>505</v>
      </c>
      <c r="B313" s="12">
        <v>3000</v>
      </c>
      <c r="C313" s="11"/>
      <c r="E313" s="1">
        <f>+IFERROR(VLOOKUP(A313,'[49]TB NEW'!$A$6:$P$714,7,0),0)</f>
        <v>0</v>
      </c>
      <c r="F313" s="1">
        <f>+IFERROR(VLOOKUP(A313,'[49]TB NEW'!$A$6:$P$714,10,0),0)</f>
        <v>0</v>
      </c>
      <c r="G313" s="18">
        <f t="shared" si="8"/>
        <v>3000</v>
      </c>
      <c r="H313" s="18">
        <f t="shared" si="8"/>
        <v>0</v>
      </c>
      <c r="I313" s="18">
        <f t="shared" si="9"/>
        <v>3000</v>
      </c>
    </row>
    <row r="314" spans="1:9">
      <c r="A314" s="10" t="s">
        <v>318</v>
      </c>
      <c r="B314" s="12">
        <v>815743.5</v>
      </c>
      <c r="C314" s="11"/>
      <c r="E314" s="1">
        <f>+IFERROR(VLOOKUP(A314,'[49]TB NEW'!$A$6:$P$714,7,0),0)</f>
        <v>392444.5</v>
      </c>
      <c r="F314" s="1">
        <f>+IFERROR(VLOOKUP(A314,'[49]TB NEW'!$A$6:$P$714,10,0),0)</f>
        <v>0</v>
      </c>
      <c r="G314" s="18">
        <f t="shared" si="8"/>
        <v>423299</v>
      </c>
      <c r="H314" s="18">
        <f t="shared" si="8"/>
        <v>0</v>
      </c>
      <c r="I314" s="18">
        <f t="shared" si="9"/>
        <v>423299</v>
      </c>
    </row>
    <row r="315" spans="1:9">
      <c r="A315" s="10" t="s">
        <v>506</v>
      </c>
      <c r="B315" s="11"/>
      <c r="C315" s="12">
        <v>3622</v>
      </c>
      <c r="E315" s="1">
        <f>+IFERROR(VLOOKUP(A315,'[49]TB NEW'!$A$6:$P$714,7,0),0)</f>
        <v>0</v>
      </c>
      <c r="F315" s="1">
        <f>+IFERROR(VLOOKUP(A315,'[49]TB NEW'!$A$6:$P$714,10,0),0)</f>
        <v>0</v>
      </c>
      <c r="G315" s="18">
        <f t="shared" si="8"/>
        <v>0</v>
      </c>
      <c r="H315" s="18">
        <f t="shared" si="8"/>
        <v>3622</v>
      </c>
      <c r="I315" s="18">
        <f t="shared" si="9"/>
        <v>3622</v>
      </c>
    </row>
    <row r="316" spans="1:9">
      <c r="A316" s="10" t="s">
        <v>319</v>
      </c>
      <c r="B316" s="11"/>
      <c r="C316" s="12">
        <v>658176</v>
      </c>
      <c r="E316" s="1">
        <f>+IFERROR(VLOOKUP(A316,'[49]TB NEW'!$A$6:$P$714,7,0),0)</f>
        <v>0</v>
      </c>
      <c r="F316" s="1">
        <f>+IFERROR(VLOOKUP(A316,'[49]TB NEW'!$A$6:$P$714,10,0),0)</f>
        <v>879467</v>
      </c>
      <c r="G316" s="18">
        <f t="shared" si="8"/>
        <v>0</v>
      </c>
      <c r="H316" s="18">
        <f t="shared" si="8"/>
        <v>-221291</v>
      </c>
      <c r="I316" s="18">
        <f t="shared" si="9"/>
        <v>-221291</v>
      </c>
    </row>
    <row r="317" spans="1:9">
      <c r="A317" s="10" t="s">
        <v>320</v>
      </c>
      <c r="B317" s="11"/>
      <c r="C317" s="12">
        <v>790876</v>
      </c>
      <c r="E317" s="1">
        <f>+IFERROR(VLOOKUP(A317,'[49]TB NEW'!$A$6:$P$714,7,0),0)</f>
        <v>0</v>
      </c>
      <c r="F317" s="1">
        <f>+IFERROR(VLOOKUP(A317,'[49]TB NEW'!$A$6:$P$714,10,0),0)</f>
        <v>803704</v>
      </c>
      <c r="G317" s="18">
        <f t="shared" si="8"/>
        <v>0</v>
      </c>
      <c r="H317" s="18">
        <f t="shared" si="8"/>
        <v>-12828</v>
      </c>
      <c r="I317" s="18">
        <f t="shared" si="9"/>
        <v>-12828</v>
      </c>
    </row>
    <row r="318" spans="1:9">
      <c r="A318" s="10" t="s">
        <v>322</v>
      </c>
      <c r="B318" s="12">
        <v>2090961</v>
      </c>
      <c r="C318" s="11"/>
      <c r="E318" s="1">
        <f>+IFERROR(VLOOKUP(A318,'[49]TB NEW'!$A$6:$P$714,7,0),0)</f>
        <v>1626242</v>
      </c>
      <c r="F318" s="1">
        <f>+IFERROR(VLOOKUP(A318,'[49]TB NEW'!$A$6:$P$714,10,0),0)</f>
        <v>0</v>
      </c>
      <c r="G318" s="18">
        <f t="shared" si="8"/>
        <v>464719</v>
      </c>
      <c r="H318" s="18">
        <f t="shared" si="8"/>
        <v>0</v>
      </c>
      <c r="I318" s="18">
        <f t="shared" si="9"/>
        <v>464719</v>
      </c>
    </row>
    <row r="319" spans="1:9">
      <c r="A319" s="10" t="s">
        <v>323</v>
      </c>
      <c r="B319" s="12">
        <v>2405654</v>
      </c>
      <c r="C319" s="11"/>
      <c r="E319" s="1">
        <f>+IFERROR(VLOOKUP(A319,'[49]TB NEW'!$A$6:$P$714,7,0),0)</f>
        <v>2273038</v>
      </c>
      <c r="F319" s="1">
        <f>+IFERROR(VLOOKUP(A319,'[49]TB NEW'!$A$6:$P$714,10,0),0)</f>
        <v>0</v>
      </c>
      <c r="G319" s="18">
        <f t="shared" si="8"/>
        <v>132616</v>
      </c>
      <c r="H319" s="18">
        <f t="shared" si="8"/>
        <v>0</v>
      </c>
      <c r="I319" s="18">
        <f t="shared" si="9"/>
        <v>132616</v>
      </c>
    </row>
    <row r="320" spans="1:9">
      <c r="A320" s="10" t="s">
        <v>324</v>
      </c>
      <c r="B320" s="12">
        <v>8079596</v>
      </c>
      <c r="C320" s="11"/>
      <c r="E320" s="1">
        <f>+IFERROR(VLOOKUP(A320,'[49]TB NEW'!$A$6:$P$714,7,0),0)</f>
        <v>8511335</v>
      </c>
      <c r="F320" s="1">
        <f>+IFERROR(VLOOKUP(A320,'[49]TB NEW'!$A$6:$P$714,10,0),0)</f>
        <v>0</v>
      </c>
      <c r="G320" s="18">
        <f t="shared" si="8"/>
        <v>-431739</v>
      </c>
      <c r="H320" s="18">
        <f t="shared" si="8"/>
        <v>0</v>
      </c>
      <c r="I320" s="18">
        <f t="shared" si="9"/>
        <v>-431739</v>
      </c>
    </row>
    <row r="321" spans="1:9">
      <c r="A321" s="10" t="s">
        <v>325</v>
      </c>
      <c r="B321" s="11"/>
      <c r="C321" s="12">
        <v>681697693.20000005</v>
      </c>
      <c r="E321" s="1">
        <f>+IFERROR(VLOOKUP(A321,'[49]TB NEW'!$A$6:$P$714,7,0),0)</f>
        <v>0</v>
      </c>
      <c r="F321" s="1">
        <f>+IFERROR(VLOOKUP(A321,'[49]TB NEW'!$A$6:$P$714,10,0),0)</f>
        <v>609002318.29999995</v>
      </c>
      <c r="G321" s="18">
        <f t="shared" si="8"/>
        <v>0</v>
      </c>
      <c r="H321" s="18">
        <f t="shared" si="8"/>
        <v>72695374.900000095</v>
      </c>
      <c r="I321" s="18">
        <f t="shared" si="9"/>
        <v>72695374.900000095</v>
      </c>
    </row>
    <row r="322" spans="1:9">
      <c r="A322" s="10" t="s">
        <v>326</v>
      </c>
      <c r="B322" s="11"/>
      <c r="C322" s="12">
        <v>106464666.95</v>
      </c>
      <c r="E322" s="1">
        <f>+IFERROR(VLOOKUP(A322,'[49]TB NEW'!$A$6:$P$714,7,0),0)</f>
        <v>0</v>
      </c>
      <c r="F322" s="1">
        <f>+IFERROR(VLOOKUP(A322,'[49]TB NEW'!$A$6:$P$714,10,0),0)</f>
        <v>77113878.299999997</v>
      </c>
      <c r="G322" s="18">
        <f t="shared" si="8"/>
        <v>0</v>
      </c>
      <c r="H322" s="18">
        <f t="shared" si="8"/>
        <v>29350788.650000006</v>
      </c>
      <c r="I322" s="18">
        <f t="shared" si="9"/>
        <v>29350788.650000006</v>
      </c>
    </row>
    <row r="323" spans="1:9">
      <c r="A323" s="10" t="s">
        <v>329</v>
      </c>
      <c r="B323" s="11"/>
      <c r="C323" s="12">
        <v>1026721.38</v>
      </c>
      <c r="E323" s="1">
        <f>+IFERROR(VLOOKUP(A323,'[49]TB NEW'!$A$6:$P$714,7,0),0)</f>
        <v>0</v>
      </c>
      <c r="F323" s="1">
        <f>+IFERROR(VLOOKUP(A323,'[49]TB NEW'!$A$6:$P$714,10,0),0)</f>
        <v>755246</v>
      </c>
      <c r="G323" s="18">
        <f t="shared" si="8"/>
        <v>0</v>
      </c>
      <c r="H323" s="18">
        <f t="shared" si="8"/>
        <v>271475.38</v>
      </c>
      <c r="I323" s="18">
        <f t="shared" si="9"/>
        <v>271475.38</v>
      </c>
    </row>
    <row r="324" spans="1:9">
      <c r="A324" s="10" t="s">
        <v>330</v>
      </c>
      <c r="B324" s="11"/>
      <c r="C324" s="12">
        <v>800000</v>
      </c>
      <c r="E324" s="1">
        <f>+IFERROR(VLOOKUP(A324,'[49]TB NEW'!$A$6:$P$714,7,0),0)</f>
        <v>0</v>
      </c>
      <c r="F324" s="1">
        <f>+IFERROR(VLOOKUP(A324,'[49]TB NEW'!$A$6:$P$714,10,0),0)</f>
        <v>874676</v>
      </c>
      <c r="G324" s="18">
        <f t="shared" si="8"/>
        <v>0</v>
      </c>
      <c r="H324" s="18">
        <f t="shared" si="8"/>
        <v>-74676</v>
      </c>
      <c r="I324" s="18">
        <f t="shared" si="9"/>
        <v>-74676</v>
      </c>
    </row>
    <row r="325" spans="1:9">
      <c r="A325" s="10" t="s">
        <v>507</v>
      </c>
      <c r="B325" s="12">
        <v>21000</v>
      </c>
      <c r="C325" s="11"/>
      <c r="E325" s="1">
        <f>+IFERROR(VLOOKUP(A325,'[49]TB NEW'!$A$6:$P$714,7,0),0)</f>
        <v>0</v>
      </c>
      <c r="F325" s="1">
        <f>+IFERROR(VLOOKUP(A325,'[49]TB NEW'!$A$6:$P$714,10,0),0)</f>
        <v>0</v>
      </c>
      <c r="G325" s="18">
        <f t="shared" si="8"/>
        <v>21000</v>
      </c>
      <c r="H325" s="18">
        <f t="shared" si="8"/>
        <v>0</v>
      </c>
      <c r="I325" s="18">
        <f t="shared" si="9"/>
        <v>21000</v>
      </c>
    </row>
    <row r="326" spans="1:9" s="15" customFormat="1">
      <c r="A326" s="10" t="s">
        <v>332</v>
      </c>
      <c r="B326" s="11"/>
      <c r="C326" s="12">
        <v>48316</v>
      </c>
      <c r="E326" s="16">
        <f>+IFERROR(VLOOKUP(A326,'[49]TB NEW'!$A$6:$P$714,7,0),0)</f>
        <v>0</v>
      </c>
      <c r="F326" s="16">
        <f>+IFERROR(VLOOKUP(A326,'[49]TB NEW'!$A$6:$P$714,10,0),0)</f>
        <v>85602</v>
      </c>
      <c r="G326" s="17">
        <f t="shared" si="8"/>
        <v>0</v>
      </c>
      <c r="H326" s="17">
        <f t="shared" si="8"/>
        <v>-37286</v>
      </c>
      <c r="I326" s="17">
        <f t="shared" si="9"/>
        <v>-37286</v>
      </c>
    </row>
    <row r="327" spans="1:9">
      <c r="A327" s="10" t="s">
        <v>333</v>
      </c>
      <c r="B327" s="11"/>
      <c r="C327" s="12">
        <v>1500000</v>
      </c>
      <c r="E327" s="1">
        <f>+IFERROR(VLOOKUP(A327,'[49]TB NEW'!$A$6:$P$714,7,0),0)</f>
        <v>0</v>
      </c>
      <c r="F327" s="1">
        <f>+IFERROR(VLOOKUP(A327,'[49]TB NEW'!$A$6:$P$714,10,0),0)</f>
        <v>1640020</v>
      </c>
      <c r="G327" s="18">
        <f t="shared" si="8"/>
        <v>0</v>
      </c>
      <c r="H327" s="18">
        <f t="shared" si="8"/>
        <v>-140020</v>
      </c>
      <c r="I327" s="18">
        <f t="shared" si="9"/>
        <v>-140020</v>
      </c>
    </row>
    <row r="328" spans="1:9">
      <c r="A328" s="10" t="s">
        <v>508</v>
      </c>
      <c r="B328" s="12">
        <v>1120</v>
      </c>
      <c r="C328" s="11"/>
      <c r="E328" s="1">
        <f>+IFERROR(VLOOKUP(A328,'[49]TB NEW'!$A$6:$P$714,7,0),0)</f>
        <v>0</v>
      </c>
      <c r="F328" s="1">
        <f>+IFERROR(VLOOKUP(A328,'[49]TB NEW'!$A$6:$P$714,10,0),0)</f>
        <v>0</v>
      </c>
      <c r="G328" s="18">
        <f t="shared" si="8"/>
        <v>1120</v>
      </c>
      <c r="H328" s="18">
        <f t="shared" si="8"/>
        <v>0</v>
      </c>
      <c r="I328" s="18">
        <f t="shared" si="9"/>
        <v>1120</v>
      </c>
    </row>
    <row r="329" spans="1:9">
      <c r="A329" s="10" t="s">
        <v>334</v>
      </c>
      <c r="B329" s="12">
        <v>13126.5</v>
      </c>
      <c r="C329" s="11"/>
      <c r="E329" s="1">
        <f>+IFERROR(VLOOKUP(A329,'[49]TB NEW'!$A$6:$P$714,7,0),0)</f>
        <v>49097</v>
      </c>
      <c r="F329" s="1">
        <f>+IFERROR(VLOOKUP(A329,'[49]TB NEW'!$A$6:$P$714,10,0),0)</f>
        <v>0</v>
      </c>
      <c r="G329" s="18">
        <f t="shared" si="8"/>
        <v>-35970.5</v>
      </c>
      <c r="H329" s="18">
        <f t="shared" si="8"/>
        <v>0</v>
      </c>
      <c r="I329" s="18">
        <f t="shared" si="9"/>
        <v>-35970.5</v>
      </c>
    </row>
    <row r="330" spans="1:9">
      <c r="A330" s="10" t="s">
        <v>335</v>
      </c>
      <c r="B330" s="11"/>
      <c r="C330" s="12">
        <v>10474175</v>
      </c>
      <c r="E330" s="1">
        <f>+IFERROR(VLOOKUP(A330,'[49]TB NEW'!$A$6:$P$714,7,0),0)</f>
        <v>0</v>
      </c>
      <c r="F330" s="1">
        <f>+IFERROR(VLOOKUP(A330,'[49]TB NEW'!$A$6:$P$714,10,0),0)</f>
        <v>7150762</v>
      </c>
      <c r="G330" s="18">
        <f t="shared" si="8"/>
        <v>0</v>
      </c>
      <c r="H330" s="18">
        <f t="shared" si="8"/>
        <v>3323413</v>
      </c>
      <c r="I330" s="18">
        <f t="shared" si="9"/>
        <v>3323413</v>
      </c>
    </row>
    <row r="331" spans="1:9">
      <c r="A331" s="10" t="s">
        <v>336</v>
      </c>
      <c r="B331" s="11"/>
      <c r="C331" s="12">
        <v>8698000</v>
      </c>
      <c r="E331" s="1">
        <f>+IFERROR(VLOOKUP(A331,'[49]TB NEW'!$A$6:$P$714,7,0),0)</f>
        <v>0</v>
      </c>
      <c r="F331" s="1">
        <f>+IFERROR(VLOOKUP(A331,'[49]TB NEW'!$A$6:$P$714,10,0),0)</f>
        <v>731497</v>
      </c>
      <c r="G331" s="18">
        <f t="shared" ref="G331:H394" si="10">+B331-E331</f>
        <v>0</v>
      </c>
      <c r="H331" s="18">
        <f t="shared" si="10"/>
        <v>7966503</v>
      </c>
      <c r="I331" s="18">
        <f t="shared" ref="I331:I394" si="11">+G331+H331</f>
        <v>7966503</v>
      </c>
    </row>
    <row r="332" spans="1:9">
      <c r="A332" s="10" t="s">
        <v>337</v>
      </c>
      <c r="B332" s="11"/>
      <c r="C332" s="12">
        <v>8001231</v>
      </c>
      <c r="E332" s="1">
        <f>+IFERROR(VLOOKUP(A332,'[49]TB NEW'!$A$6:$P$714,7,0),0)</f>
        <v>0</v>
      </c>
      <c r="F332" s="1">
        <f>+IFERROR(VLOOKUP(A332,'[49]TB NEW'!$A$6:$P$714,10,0),0)</f>
        <v>5601686</v>
      </c>
      <c r="G332" s="18">
        <f t="shared" si="10"/>
        <v>0</v>
      </c>
      <c r="H332" s="18">
        <f t="shared" si="10"/>
        <v>2399545</v>
      </c>
      <c r="I332" s="18">
        <f t="shared" si="11"/>
        <v>2399545</v>
      </c>
    </row>
    <row r="333" spans="1:9">
      <c r="A333" s="10" t="s">
        <v>338</v>
      </c>
      <c r="B333" s="11"/>
      <c r="C333" s="12">
        <v>3252350</v>
      </c>
      <c r="E333" s="1">
        <f>+IFERROR(VLOOKUP(A333,'[49]TB NEW'!$A$6:$P$714,7,0),0)</f>
        <v>0</v>
      </c>
      <c r="F333" s="1">
        <f>+IFERROR(VLOOKUP(A333,'[49]TB NEW'!$A$6:$P$714,10,0),0)</f>
        <v>275530</v>
      </c>
      <c r="G333" s="18">
        <f t="shared" si="10"/>
        <v>0</v>
      </c>
      <c r="H333" s="18">
        <f t="shared" si="10"/>
        <v>2976820</v>
      </c>
      <c r="I333" s="18">
        <f t="shared" si="11"/>
        <v>2976820</v>
      </c>
    </row>
    <row r="334" spans="1:9">
      <c r="A334" s="10" t="s">
        <v>339</v>
      </c>
      <c r="B334" s="11"/>
      <c r="C334" s="12">
        <v>8664946</v>
      </c>
      <c r="E334" s="1">
        <f>+IFERROR(VLOOKUP(A334,'[49]TB NEW'!$A$6:$P$714,7,0),0)</f>
        <v>0</v>
      </c>
      <c r="F334" s="1">
        <f>+IFERROR(VLOOKUP(A334,'[49]TB NEW'!$A$6:$P$714,10,0),0)</f>
        <v>8664946</v>
      </c>
      <c r="G334" s="18">
        <f t="shared" si="10"/>
        <v>0</v>
      </c>
      <c r="H334" s="18">
        <f t="shared" si="10"/>
        <v>0</v>
      </c>
      <c r="I334" s="18">
        <f t="shared" si="11"/>
        <v>0</v>
      </c>
    </row>
    <row r="335" spans="1:9">
      <c r="A335" s="10" t="s">
        <v>340</v>
      </c>
      <c r="B335" s="12">
        <v>693091</v>
      </c>
      <c r="C335" s="11"/>
      <c r="E335" s="1">
        <f>+IFERROR(VLOOKUP(A335,'[49]TB NEW'!$A$6:$P$714,7,0),0)</f>
        <v>689707</v>
      </c>
      <c r="F335" s="1">
        <f>+IFERROR(VLOOKUP(A335,'[49]TB NEW'!$A$6:$P$714,10,0),0)</f>
        <v>0</v>
      </c>
      <c r="G335" s="18">
        <f t="shared" si="10"/>
        <v>3384</v>
      </c>
      <c r="H335" s="18">
        <f t="shared" si="10"/>
        <v>0</v>
      </c>
      <c r="I335" s="18">
        <f t="shared" si="11"/>
        <v>3384</v>
      </c>
    </row>
    <row r="336" spans="1:9">
      <c r="A336" s="10" t="s">
        <v>341</v>
      </c>
      <c r="B336" s="11"/>
      <c r="C336" s="12">
        <v>35395001</v>
      </c>
      <c r="E336" s="1">
        <f>+IFERROR(VLOOKUP(A336,'[49]TB NEW'!$A$6:$P$714,7,0),0)</f>
        <v>0</v>
      </c>
      <c r="F336" s="1">
        <f>+IFERROR(VLOOKUP(A336,'[49]TB NEW'!$A$6:$P$714,10,0),0)</f>
        <v>21264856</v>
      </c>
      <c r="G336" s="18">
        <f t="shared" si="10"/>
        <v>0</v>
      </c>
      <c r="H336" s="18">
        <f t="shared" si="10"/>
        <v>14130145</v>
      </c>
      <c r="I336" s="18">
        <f t="shared" si="11"/>
        <v>14130145</v>
      </c>
    </row>
    <row r="337" spans="1:9">
      <c r="A337" s="10" t="s">
        <v>509</v>
      </c>
      <c r="B337" s="11"/>
      <c r="C337" s="12">
        <v>106736.25</v>
      </c>
      <c r="E337" s="1">
        <f>+IFERROR(VLOOKUP(A337,'[49]TB NEW'!$A$6:$P$714,7,0),0)</f>
        <v>0</v>
      </c>
      <c r="F337" s="1">
        <f>+IFERROR(VLOOKUP(A337,'[49]TB NEW'!$A$6:$P$714,10,0),0)</f>
        <v>0</v>
      </c>
      <c r="G337" s="18">
        <f t="shared" si="10"/>
        <v>0</v>
      </c>
      <c r="H337" s="18">
        <f t="shared" si="10"/>
        <v>106736.25</v>
      </c>
      <c r="I337" s="18">
        <f t="shared" si="11"/>
        <v>106736.25</v>
      </c>
    </row>
    <row r="338" spans="1:9">
      <c r="A338" s="10" t="s">
        <v>510</v>
      </c>
      <c r="B338" s="11"/>
      <c r="C338" s="12">
        <v>2167884.58</v>
      </c>
      <c r="E338" s="1">
        <f>+IFERROR(VLOOKUP(A338,'[49]TB NEW'!$A$6:$P$714,7,0),0)</f>
        <v>0</v>
      </c>
      <c r="F338" s="1">
        <f>+IFERROR(VLOOKUP(A338,'[49]TB NEW'!$A$6:$P$714,10,0),0)</f>
        <v>0</v>
      </c>
      <c r="G338" s="18">
        <f t="shared" si="10"/>
        <v>0</v>
      </c>
      <c r="H338" s="18">
        <f t="shared" si="10"/>
        <v>2167884.58</v>
      </c>
      <c r="I338" s="18">
        <f t="shared" si="11"/>
        <v>2167884.58</v>
      </c>
    </row>
    <row r="339" spans="1:9">
      <c r="A339" s="10" t="s">
        <v>511</v>
      </c>
      <c r="B339" s="11"/>
      <c r="C339" s="12">
        <v>32400</v>
      </c>
      <c r="E339" s="1">
        <f>+IFERROR(VLOOKUP(A339,'[49]TB NEW'!$A$6:$P$714,7,0),0)</f>
        <v>0</v>
      </c>
      <c r="F339" s="1">
        <f>+IFERROR(VLOOKUP(A339,'[49]TB NEW'!$A$6:$P$714,10,0),0)</f>
        <v>0</v>
      </c>
      <c r="G339" s="18">
        <f t="shared" si="10"/>
        <v>0</v>
      </c>
      <c r="H339" s="18">
        <f t="shared" si="10"/>
        <v>32400</v>
      </c>
      <c r="I339" s="18">
        <f t="shared" si="11"/>
        <v>32400</v>
      </c>
    </row>
    <row r="340" spans="1:9">
      <c r="A340" s="10" t="s">
        <v>512</v>
      </c>
      <c r="B340" s="12">
        <v>2852</v>
      </c>
      <c r="C340" s="11"/>
      <c r="E340" s="1">
        <f>+IFERROR(VLOOKUP(A340,'[49]TB NEW'!$A$6:$P$714,7,0),0)</f>
        <v>0</v>
      </c>
      <c r="F340" s="1">
        <f>+IFERROR(VLOOKUP(A340,'[49]TB NEW'!$A$6:$P$714,10,0),0)</f>
        <v>0</v>
      </c>
      <c r="G340" s="18">
        <f t="shared" si="10"/>
        <v>2852</v>
      </c>
      <c r="H340" s="18">
        <f t="shared" si="10"/>
        <v>0</v>
      </c>
      <c r="I340" s="18">
        <f t="shared" si="11"/>
        <v>2852</v>
      </c>
    </row>
    <row r="341" spans="1:9">
      <c r="A341" s="10" t="s">
        <v>513</v>
      </c>
      <c r="B341" s="11"/>
      <c r="C341" s="12">
        <v>303693</v>
      </c>
      <c r="E341" s="1">
        <f>+IFERROR(VLOOKUP(A341,'[49]TB NEW'!$A$6:$P$714,7,0),0)</f>
        <v>0</v>
      </c>
      <c r="F341" s="1">
        <f>+IFERROR(VLOOKUP(A341,'[49]TB NEW'!$A$6:$P$714,10,0),0)</f>
        <v>0</v>
      </c>
      <c r="G341" s="18">
        <f t="shared" si="10"/>
        <v>0</v>
      </c>
      <c r="H341" s="18">
        <f t="shared" si="10"/>
        <v>303693</v>
      </c>
      <c r="I341" s="18">
        <f t="shared" si="11"/>
        <v>303693</v>
      </c>
    </row>
    <row r="342" spans="1:9">
      <c r="A342" s="10" t="s">
        <v>345</v>
      </c>
      <c r="B342" s="12">
        <v>1378113</v>
      </c>
      <c r="C342" s="11"/>
      <c r="E342" s="1">
        <f>+IFERROR(VLOOKUP(A342,'[49]TB NEW'!$A$6:$P$714,7,0),0)</f>
        <v>10</v>
      </c>
      <c r="F342" s="1">
        <f>+IFERROR(VLOOKUP(A342,'[49]TB NEW'!$A$6:$P$714,10,0),0)</f>
        <v>0</v>
      </c>
      <c r="G342" s="18">
        <f t="shared" si="10"/>
        <v>1378103</v>
      </c>
      <c r="H342" s="18">
        <f t="shared" si="10"/>
        <v>0</v>
      </c>
      <c r="I342" s="18">
        <f t="shared" si="11"/>
        <v>1378103</v>
      </c>
    </row>
    <row r="343" spans="1:9">
      <c r="A343" s="10" t="s">
        <v>514</v>
      </c>
      <c r="B343" s="12">
        <v>4076</v>
      </c>
      <c r="C343" s="11"/>
      <c r="E343" s="1">
        <f>+IFERROR(VLOOKUP(A343,'[49]TB NEW'!$A$6:$P$714,7,0),0)</f>
        <v>0</v>
      </c>
      <c r="F343" s="1">
        <f>+IFERROR(VLOOKUP(A343,'[49]TB NEW'!$A$6:$P$714,10,0),0)</f>
        <v>0</v>
      </c>
      <c r="G343" s="18">
        <f t="shared" si="10"/>
        <v>4076</v>
      </c>
      <c r="H343" s="18">
        <f t="shared" si="10"/>
        <v>0</v>
      </c>
      <c r="I343" s="18">
        <f t="shared" si="11"/>
        <v>4076</v>
      </c>
    </row>
    <row r="344" spans="1:9">
      <c r="A344" s="10" t="s">
        <v>515</v>
      </c>
      <c r="B344" s="11"/>
      <c r="C344" s="12">
        <v>8510361.5</v>
      </c>
      <c r="E344" s="1">
        <f>+IFERROR(VLOOKUP(A344,'[49]TB NEW'!$A$6:$P$714,7,0),0)</f>
        <v>0</v>
      </c>
      <c r="F344" s="1">
        <f>+IFERROR(VLOOKUP(A344,'[49]TB NEW'!$A$6:$P$714,10,0),0)</f>
        <v>0</v>
      </c>
      <c r="G344" s="18">
        <f t="shared" si="10"/>
        <v>0</v>
      </c>
      <c r="H344" s="18">
        <f t="shared" si="10"/>
        <v>8510361.5</v>
      </c>
      <c r="I344" s="18">
        <f t="shared" si="11"/>
        <v>8510361.5</v>
      </c>
    </row>
    <row r="345" spans="1:9">
      <c r="A345" s="10" t="s">
        <v>347</v>
      </c>
      <c r="B345" s="11"/>
      <c r="C345" s="12">
        <v>127269</v>
      </c>
      <c r="E345" s="1">
        <f>+IFERROR(VLOOKUP(A345,'[49]TB NEW'!$A$6:$P$714,7,0),0)</f>
        <v>0</v>
      </c>
      <c r="F345" s="1">
        <f>+IFERROR(VLOOKUP(A345,'[49]TB NEW'!$A$6:$P$714,10,0),0)</f>
        <v>137081</v>
      </c>
      <c r="G345" s="18">
        <f t="shared" si="10"/>
        <v>0</v>
      </c>
      <c r="H345" s="18">
        <f t="shared" si="10"/>
        <v>-9812</v>
      </c>
      <c r="I345" s="18">
        <f t="shared" si="11"/>
        <v>-9812</v>
      </c>
    </row>
    <row r="346" spans="1:9">
      <c r="A346" s="10" t="s">
        <v>349</v>
      </c>
      <c r="B346" s="11"/>
      <c r="C346" s="12">
        <v>13878</v>
      </c>
      <c r="E346" s="1">
        <f>+IFERROR(VLOOKUP(A346,'[49]TB NEW'!$A$6:$P$714,7,0),0)</f>
        <v>140595</v>
      </c>
      <c r="F346" s="1">
        <f>+IFERROR(VLOOKUP(A346,'[49]TB NEW'!$A$6:$P$714,10,0),0)</f>
        <v>0</v>
      </c>
      <c r="G346" s="18">
        <f t="shared" si="10"/>
        <v>-140595</v>
      </c>
      <c r="H346" s="18">
        <f t="shared" si="10"/>
        <v>13878</v>
      </c>
      <c r="I346" s="18">
        <f t="shared" si="11"/>
        <v>-126717</v>
      </c>
    </row>
    <row r="347" spans="1:9">
      <c r="A347" s="10" t="s">
        <v>350</v>
      </c>
      <c r="B347" s="12">
        <v>2024393</v>
      </c>
      <c r="C347" s="11"/>
      <c r="E347" s="1">
        <f>+IFERROR(VLOOKUP(A347,'[49]TB NEW'!$A$6:$P$714,7,0),0)</f>
        <v>2980302</v>
      </c>
      <c r="F347" s="1">
        <f>+IFERROR(VLOOKUP(A347,'[49]TB NEW'!$A$6:$P$714,10,0),0)</f>
        <v>0</v>
      </c>
      <c r="G347" s="18">
        <f t="shared" si="10"/>
        <v>-955909</v>
      </c>
      <c r="H347" s="18">
        <f t="shared" si="10"/>
        <v>0</v>
      </c>
      <c r="I347" s="18">
        <f t="shared" si="11"/>
        <v>-955909</v>
      </c>
    </row>
    <row r="348" spans="1:9">
      <c r="A348" s="10" t="s">
        <v>353</v>
      </c>
      <c r="B348" s="11"/>
      <c r="C348" s="12">
        <v>2288867</v>
      </c>
      <c r="E348" s="1">
        <f>+IFERROR(VLOOKUP(A348,'[49]TB NEW'!$A$6:$P$714,7,0),0)</f>
        <v>0</v>
      </c>
      <c r="F348" s="1">
        <f>+IFERROR(VLOOKUP(A348,'[49]TB NEW'!$A$6:$P$714,10,0),0)</f>
        <v>3584869</v>
      </c>
      <c r="G348" s="18">
        <f t="shared" si="10"/>
        <v>0</v>
      </c>
      <c r="H348" s="18">
        <f t="shared" si="10"/>
        <v>-1296002</v>
      </c>
      <c r="I348" s="18">
        <f t="shared" si="11"/>
        <v>-1296002</v>
      </c>
    </row>
    <row r="349" spans="1:9">
      <c r="A349" s="10" t="s">
        <v>516</v>
      </c>
      <c r="B349" s="12">
        <v>175720</v>
      </c>
      <c r="C349" s="11"/>
      <c r="E349" s="1">
        <f>+IFERROR(VLOOKUP(A349,'[49]TB NEW'!$A$6:$P$714,7,0),0)</f>
        <v>0</v>
      </c>
      <c r="F349" s="1">
        <f>+IFERROR(VLOOKUP(A349,'[49]TB NEW'!$A$6:$P$714,10,0),0)</f>
        <v>0</v>
      </c>
      <c r="G349" s="18">
        <f t="shared" si="10"/>
        <v>175720</v>
      </c>
      <c r="H349" s="18">
        <f t="shared" si="10"/>
        <v>0</v>
      </c>
      <c r="I349" s="18">
        <f t="shared" si="11"/>
        <v>175720</v>
      </c>
    </row>
    <row r="350" spans="1:9">
      <c r="A350" s="10" t="s">
        <v>517</v>
      </c>
      <c r="B350" s="12">
        <v>1443909.5</v>
      </c>
      <c r="C350" s="11"/>
      <c r="E350" s="1">
        <f>+IFERROR(VLOOKUP(A350,'[49]TB NEW'!$A$6:$P$714,7,0),0)</f>
        <v>0</v>
      </c>
      <c r="F350" s="1">
        <f>+IFERROR(VLOOKUP(A350,'[49]TB NEW'!$A$6:$P$714,10,0),0)</f>
        <v>0</v>
      </c>
      <c r="G350" s="18">
        <f t="shared" si="10"/>
        <v>1443909.5</v>
      </c>
      <c r="H350" s="18">
        <f t="shared" si="10"/>
        <v>0</v>
      </c>
      <c r="I350" s="18">
        <f t="shared" si="11"/>
        <v>1443909.5</v>
      </c>
    </row>
    <row r="351" spans="1:9">
      <c r="A351" s="10" t="s">
        <v>354</v>
      </c>
      <c r="B351" s="11"/>
      <c r="C351" s="12">
        <v>194140</v>
      </c>
      <c r="E351" s="1">
        <f>+IFERROR(VLOOKUP(A351,'[49]TB NEW'!$A$6:$P$714,7,0),0)</f>
        <v>0</v>
      </c>
      <c r="F351" s="1">
        <f>+IFERROR(VLOOKUP(A351,'[49]TB NEW'!$A$6:$P$714,10,0),0)</f>
        <v>145449</v>
      </c>
      <c r="G351" s="18">
        <f t="shared" si="10"/>
        <v>0</v>
      </c>
      <c r="H351" s="18">
        <f t="shared" si="10"/>
        <v>48691</v>
      </c>
      <c r="I351" s="18">
        <f t="shared" si="11"/>
        <v>48691</v>
      </c>
    </row>
    <row r="352" spans="1:9">
      <c r="A352" s="10" t="s">
        <v>518</v>
      </c>
      <c r="B352" s="12">
        <v>398247</v>
      </c>
      <c r="C352" s="11"/>
      <c r="E352" s="1">
        <f>+IFERROR(VLOOKUP(A352,'[49]TB NEW'!$A$6:$P$714,7,0),0)</f>
        <v>0</v>
      </c>
      <c r="F352" s="1">
        <f>+IFERROR(VLOOKUP(A352,'[49]TB NEW'!$A$6:$P$714,10,0),0)</f>
        <v>0</v>
      </c>
      <c r="G352" s="18">
        <f t="shared" si="10"/>
        <v>398247</v>
      </c>
      <c r="H352" s="18">
        <f t="shared" si="10"/>
        <v>0</v>
      </c>
      <c r="I352" s="18">
        <f t="shared" si="11"/>
        <v>398247</v>
      </c>
    </row>
    <row r="353" spans="1:9">
      <c r="A353" s="10" t="s">
        <v>356</v>
      </c>
      <c r="B353" s="12">
        <v>116242.2</v>
      </c>
      <c r="C353" s="11"/>
      <c r="E353" s="1">
        <f>+IFERROR(VLOOKUP(A353,'[49]TB NEW'!$A$6:$P$714,7,0),0)</f>
        <v>100400</v>
      </c>
      <c r="F353" s="1">
        <f>+IFERROR(VLOOKUP(A353,'[49]TB NEW'!$A$6:$P$714,10,0),0)</f>
        <v>0</v>
      </c>
      <c r="G353" s="18">
        <f t="shared" si="10"/>
        <v>15842.199999999997</v>
      </c>
      <c r="H353" s="18">
        <f t="shared" si="10"/>
        <v>0</v>
      </c>
      <c r="I353" s="18">
        <f t="shared" si="11"/>
        <v>15842.199999999997</v>
      </c>
    </row>
    <row r="354" spans="1:9">
      <c r="A354" s="10" t="s">
        <v>519</v>
      </c>
      <c r="B354" s="11"/>
      <c r="C354" s="12">
        <v>23718</v>
      </c>
      <c r="E354" s="1">
        <f>+IFERROR(VLOOKUP(A354,'[49]TB NEW'!$A$6:$P$714,7,0),0)</f>
        <v>0</v>
      </c>
      <c r="F354" s="1">
        <f>+IFERROR(VLOOKUP(A354,'[49]TB NEW'!$A$6:$P$714,10,0),0)</f>
        <v>0</v>
      </c>
      <c r="G354" s="18">
        <f t="shared" si="10"/>
        <v>0</v>
      </c>
      <c r="H354" s="18">
        <f t="shared" si="10"/>
        <v>23718</v>
      </c>
      <c r="I354" s="18">
        <f t="shared" si="11"/>
        <v>23718</v>
      </c>
    </row>
    <row r="355" spans="1:9">
      <c r="A355" s="10" t="s">
        <v>357</v>
      </c>
      <c r="B355" s="11"/>
      <c r="C355" s="12">
        <v>1600001</v>
      </c>
      <c r="E355" s="1">
        <f>+IFERROR(VLOOKUP(A355,'[49]TB NEW'!$A$6:$P$714,7,0),0)</f>
        <v>0</v>
      </c>
      <c r="F355" s="1">
        <f>+IFERROR(VLOOKUP(A355,'[49]TB NEW'!$A$6:$P$714,10,0),0)</f>
        <v>1749357</v>
      </c>
      <c r="G355" s="18">
        <f t="shared" si="10"/>
        <v>0</v>
      </c>
      <c r="H355" s="18">
        <f t="shared" si="10"/>
        <v>-149356</v>
      </c>
      <c r="I355" s="18">
        <f t="shared" si="11"/>
        <v>-149356</v>
      </c>
    </row>
    <row r="356" spans="1:9">
      <c r="A356" s="10" t="s">
        <v>520</v>
      </c>
      <c r="B356" s="12">
        <v>1247028</v>
      </c>
      <c r="C356" s="11"/>
      <c r="E356" s="1">
        <f>+IFERROR(VLOOKUP(A356,'[49]TB NEW'!$A$6:$P$714,7,0),0)</f>
        <v>0</v>
      </c>
      <c r="F356" s="1">
        <f>+IFERROR(VLOOKUP(A356,'[49]TB NEW'!$A$6:$P$714,10,0),0)</f>
        <v>0</v>
      </c>
      <c r="G356" s="18">
        <f t="shared" si="10"/>
        <v>1247028</v>
      </c>
      <c r="H356" s="18">
        <f t="shared" si="10"/>
        <v>0</v>
      </c>
      <c r="I356" s="18">
        <f t="shared" si="11"/>
        <v>1247028</v>
      </c>
    </row>
    <row r="357" spans="1:9">
      <c r="A357" s="10" t="s">
        <v>359</v>
      </c>
      <c r="B357" s="11"/>
      <c r="C357" s="12">
        <v>10825</v>
      </c>
      <c r="E357" s="1">
        <f>+IFERROR(VLOOKUP(A357,'[49]TB NEW'!$A$6:$P$714,7,0),0)</f>
        <v>0</v>
      </c>
      <c r="F357" s="1">
        <f>+IFERROR(VLOOKUP(A357,'[49]TB NEW'!$A$6:$P$714,10,0),0)</f>
        <v>10225</v>
      </c>
      <c r="G357" s="18">
        <f t="shared" si="10"/>
        <v>0</v>
      </c>
      <c r="H357" s="18">
        <f t="shared" si="10"/>
        <v>600</v>
      </c>
      <c r="I357" s="18">
        <f t="shared" si="11"/>
        <v>600</v>
      </c>
    </row>
    <row r="358" spans="1:9">
      <c r="A358" s="10" t="s">
        <v>521</v>
      </c>
      <c r="B358" s="12">
        <v>26048</v>
      </c>
      <c r="C358" s="11"/>
      <c r="E358" s="1">
        <f>+IFERROR(VLOOKUP(A358,'[49]TB NEW'!$A$6:$P$714,7,0),0)</f>
        <v>0</v>
      </c>
      <c r="F358" s="1">
        <f>+IFERROR(VLOOKUP(A358,'[49]TB NEW'!$A$6:$P$714,10,0),0)</f>
        <v>0</v>
      </c>
      <c r="G358" s="18">
        <f t="shared" si="10"/>
        <v>26048</v>
      </c>
      <c r="H358" s="18">
        <f t="shared" si="10"/>
        <v>0</v>
      </c>
      <c r="I358" s="18">
        <f t="shared" si="11"/>
        <v>26048</v>
      </c>
    </row>
    <row r="359" spans="1:9">
      <c r="A359" s="10" t="s">
        <v>360</v>
      </c>
      <c r="B359" s="11"/>
      <c r="C359" s="12">
        <v>55675684.390000001</v>
      </c>
      <c r="E359" s="1">
        <f>+IFERROR(VLOOKUP(A359,'[49]TB NEW'!$A$6:$P$714,7,0),0)</f>
        <v>0</v>
      </c>
      <c r="F359" s="1">
        <f>+IFERROR(VLOOKUP(A359,'[49]TB NEW'!$A$6:$P$714,10,0),0)</f>
        <v>61846818.590000004</v>
      </c>
      <c r="G359" s="18">
        <f t="shared" si="10"/>
        <v>0</v>
      </c>
      <c r="H359" s="18">
        <f t="shared" si="10"/>
        <v>-6171134.200000003</v>
      </c>
      <c r="I359" s="18">
        <f t="shared" si="11"/>
        <v>-6171134.200000003</v>
      </c>
    </row>
    <row r="360" spans="1:9">
      <c r="A360" s="10" t="s">
        <v>361</v>
      </c>
      <c r="B360" s="12">
        <v>5413556</v>
      </c>
      <c r="C360" s="11"/>
      <c r="E360" s="1">
        <f>+IFERROR(VLOOKUP(A360,'[49]TB NEW'!$A$6:$P$714,7,0),0)</f>
        <v>5558970</v>
      </c>
      <c r="F360" s="1">
        <f>+IFERROR(VLOOKUP(A360,'[49]TB NEW'!$A$6:$P$714,10,0),0)</f>
        <v>0</v>
      </c>
      <c r="G360" s="18">
        <f t="shared" si="10"/>
        <v>-145414</v>
      </c>
      <c r="H360" s="18">
        <f t="shared" si="10"/>
        <v>0</v>
      </c>
      <c r="I360" s="18">
        <f t="shared" si="11"/>
        <v>-145414</v>
      </c>
    </row>
    <row r="361" spans="1:9">
      <c r="A361" s="10" t="s">
        <v>362</v>
      </c>
      <c r="B361" s="12">
        <v>202817.87</v>
      </c>
      <c r="C361" s="11"/>
      <c r="E361" s="1">
        <f>+IFERROR(VLOOKUP(A361,'[49]TB NEW'!$A$6:$P$714,7,0),0)</f>
        <v>237277.27</v>
      </c>
      <c r="F361" s="1">
        <f>+IFERROR(VLOOKUP(A361,'[49]TB NEW'!$A$6:$P$714,10,0),0)</f>
        <v>0</v>
      </c>
      <c r="G361" s="18">
        <f t="shared" si="10"/>
        <v>-34459.399999999994</v>
      </c>
      <c r="H361" s="18">
        <f t="shared" si="10"/>
        <v>0</v>
      </c>
      <c r="I361" s="18">
        <f t="shared" si="11"/>
        <v>-34459.399999999994</v>
      </c>
    </row>
    <row r="362" spans="1:9">
      <c r="A362" s="10" t="s">
        <v>363</v>
      </c>
      <c r="B362" s="12">
        <v>250000</v>
      </c>
      <c r="C362" s="11"/>
      <c r="E362" s="1">
        <f>+IFERROR(VLOOKUP(A362,'[49]TB NEW'!$A$6:$P$714,7,0),0)</f>
        <v>250000</v>
      </c>
      <c r="F362" s="1">
        <f>+IFERROR(VLOOKUP(A362,'[49]TB NEW'!$A$6:$P$714,10,0),0)</f>
        <v>0</v>
      </c>
      <c r="G362" s="18">
        <f t="shared" si="10"/>
        <v>0</v>
      </c>
      <c r="H362" s="18">
        <f t="shared" si="10"/>
        <v>0</v>
      </c>
      <c r="I362" s="18">
        <f t="shared" si="11"/>
        <v>0</v>
      </c>
    </row>
    <row r="363" spans="1:9">
      <c r="A363" s="10" t="s">
        <v>522</v>
      </c>
      <c r="B363" s="12">
        <v>20000</v>
      </c>
      <c r="C363" s="11"/>
      <c r="E363" s="1">
        <f>+IFERROR(VLOOKUP(A363,'[49]TB NEW'!$A$6:$P$714,7,0),0)</f>
        <v>0</v>
      </c>
      <c r="F363" s="1">
        <f>+IFERROR(VLOOKUP(A363,'[49]TB NEW'!$A$6:$P$714,10,0),0)</f>
        <v>0</v>
      </c>
      <c r="G363" s="18">
        <f t="shared" si="10"/>
        <v>20000</v>
      </c>
      <c r="H363" s="18">
        <f t="shared" si="10"/>
        <v>0</v>
      </c>
      <c r="I363" s="18">
        <f t="shared" si="11"/>
        <v>20000</v>
      </c>
    </row>
    <row r="364" spans="1:9">
      <c r="A364" s="10" t="s">
        <v>364</v>
      </c>
      <c r="B364" s="12">
        <v>5000</v>
      </c>
      <c r="C364" s="11"/>
      <c r="E364" s="1">
        <f>+IFERROR(VLOOKUP(A364,'[49]TB NEW'!$A$6:$P$714,7,0),0)</f>
        <v>73000</v>
      </c>
      <c r="F364" s="1">
        <f>+IFERROR(VLOOKUP(A364,'[49]TB NEW'!$A$6:$P$714,10,0),0)</f>
        <v>0</v>
      </c>
      <c r="G364" s="18">
        <f t="shared" si="10"/>
        <v>-68000</v>
      </c>
      <c r="H364" s="18">
        <f t="shared" si="10"/>
        <v>0</v>
      </c>
      <c r="I364" s="18">
        <f t="shared" si="11"/>
        <v>-68000</v>
      </c>
    </row>
    <row r="365" spans="1:9">
      <c r="A365" s="10" t="s">
        <v>365</v>
      </c>
      <c r="B365" s="11"/>
      <c r="C365" s="12">
        <v>192538</v>
      </c>
      <c r="E365" s="1">
        <f>+IFERROR(VLOOKUP(A365,'[49]TB NEW'!$A$6:$P$714,7,0),0)</f>
        <v>0</v>
      </c>
      <c r="F365" s="1">
        <f>+IFERROR(VLOOKUP(A365,'[49]TB NEW'!$A$6:$P$714,10,0),0)</f>
        <v>64723</v>
      </c>
      <c r="G365" s="18">
        <f t="shared" si="10"/>
        <v>0</v>
      </c>
      <c r="H365" s="18">
        <f t="shared" si="10"/>
        <v>127815</v>
      </c>
      <c r="I365" s="18">
        <f t="shared" si="11"/>
        <v>127815</v>
      </c>
    </row>
    <row r="366" spans="1:9">
      <c r="A366" s="10" t="s">
        <v>523</v>
      </c>
      <c r="B366" s="11"/>
      <c r="C366" s="12">
        <v>114949</v>
      </c>
      <c r="E366" s="1">
        <f>+IFERROR(VLOOKUP(A366,'[49]TB NEW'!$A$6:$P$714,7,0),0)</f>
        <v>0</v>
      </c>
      <c r="F366" s="1">
        <f>+IFERROR(VLOOKUP(A366,'[49]TB NEW'!$A$6:$P$714,10,0),0)</f>
        <v>0</v>
      </c>
      <c r="G366" s="18">
        <f t="shared" si="10"/>
        <v>0</v>
      </c>
      <c r="H366" s="18">
        <f t="shared" si="10"/>
        <v>114949</v>
      </c>
      <c r="I366" s="18">
        <f t="shared" si="11"/>
        <v>114949</v>
      </c>
    </row>
    <row r="367" spans="1:9">
      <c r="A367" s="10" t="s">
        <v>366</v>
      </c>
      <c r="B367" s="11"/>
      <c r="C367" s="12">
        <v>459137</v>
      </c>
      <c r="E367" s="1">
        <f>+IFERROR(VLOOKUP(A367,'[49]TB NEW'!$A$6:$P$714,7,0),0)</f>
        <v>0</v>
      </c>
      <c r="F367" s="1">
        <f>+IFERROR(VLOOKUP(A367,'[49]TB NEW'!$A$6:$P$714,10,0),0)</f>
        <v>29242</v>
      </c>
      <c r="G367" s="18">
        <f t="shared" si="10"/>
        <v>0</v>
      </c>
      <c r="H367" s="18">
        <f t="shared" si="10"/>
        <v>429895</v>
      </c>
      <c r="I367" s="18">
        <f t="shared" si="11"/>
        <v>429895</v>
      </c>
    </row>
    <row r="368" spans="1:9">
      <c r="A368" s="10" t="s">
        <v>367</v>
      </c>
      <c r="B368" s="11"/>
      <c r="C368" s="12">
        <v>484174</v>
      </c>
      <c r="E368" s="1">
        <f>+IFERROR(VLOOKUP(A368,'[49]TB NEW'!$A$6:$P$714,7,0),0)</f>
        <v>0</v>
      </c>
      <c r="F368" s="1">
        <f>+IFERROR(VLOOKUP(A368,'[49]TB NEW'!$A$6:$P$714,10,0),0)</f>
        <v>94333</v>
      </c>
      <c r="G368" s="18">
        <f t="shared" si="10"/>
        <v>0</v>
      </c>
      <c r="H368" s="18">
        <f t="shared" si="10"/>
        <v>389841</v>
      </c>
      <c r="I368" s="18">
        <f t="shared" si="11"/>
        <v>389841</v>
      </c>
    </row>
    <row r="369" spans="1:9">
      <c r="A369" s="10" t="s">
        <v>369</v>
      </c>
      <c r="B369" s="11"/>
      <c r="C369" s="12">
        <v>63097.05</v>
      </c>
      <c r="E369" s="1">
        <f>+IFERROR(VLOOKUP(A369,'[49]TB NEW'!$A$6:$P$714,7,0),0)</f>
        <v>183007.6</v>
      </c>
      <c r="F369" s="1">
        <f>+IFERROR(VLOOKUP(A369,'[49]TB NEW'!$A$6:$P$714,10,0),0)</f>
        <v>0</v>
      </c>
      <c r="G369" s="18">
        <f t="shared" si="10"/>
        <v>-183007.6</v>
      </c>
      <c r="H369" s="18">
        <f t="shared" si="10"/>
        <v>63097.05</v>
      </c>
      <c r="I369" s="18">
        <f t="shared" si="11"/>
        <v>-119910.55</v>
      </c>
    </row>
    <row r="370" spans="1:9">
      <c r="A370" s="10" t="s">
        <v>370</v>
      </c>
      <c r="B370" s="12">
        <v>1029518</v>
      </c>
      <c r="C370" s="11"/>
      <c r="E370" s="1">
        <f>+IFERROR(VLOOKUP(A370,'[49]TB NEW'!$A$6:$P$714,7,0),0)</f>
        <v>1168754</v>
      </c>
      <c r="F370" s="1">
        <f>+IFERROR(VLOOKUP(A370,'[49]TB NEW'!$A$6:$P$714,10,0),0)</f>
        <v>0</v>
      </c>
      <c r="G370" s="18">
        <f t="shared" si="10"/>
        <v>-139236</v>
      </c>
      <c r="H370" s="18">
        <f t="shared" si="10"/>
        <v>0</v>
      </c>
      <c r="I370" s="18">
        <f t="shared" si="11"/>
        <v>-139236</v>
      </c>
    </row>
    <row r="371" spans="1:9">
      <c r="A371" s="10" t="s">
        <v>524</v>
      </c>
      <c r="B371" s="12">
        <v>12000</v>
      </c>
      <c r="C371" s="11"/>
      <c r="E371" s="1">
        <f>+IFERROR(VLOOKUP(A371,'[49]TB NEW'!$A$6:$P$714,7,0),0)</f>
        <v>0</v>
      </c>
      <c r="F371" s="1">
        <f>+IFERROR(VLOOKUP(A371,'[49]TB NEW'!$A$6:$P$714,10,0),0)</f>
        <v>0</v>
      </c>
      <c r="G371" s="18">
        <f t="shared" si="10"/>
        <v>12000</v>
      </c>
      <c r="H371" s="18">
        <f t="shared" si="10"/>
        <v>0</v>
      </c>
      <c r="I371" s="18">
        <f t="shared" si="11"/>
        <v>12000</v>
      </c>
    </row>
    <row r="372" spans="1:9">
      <c r="A372" s="10" t="s">
        <v>525</v>
      </c>
      <c r="B372" s="12">
        <v>235492</v>
      </c>
      <c r="C372" s="11"/>
      <c r="E372" s="1">
        <f>+IFERROR(VLOOKUP(A372,'[49]TB NEW'!$A$6:$P$714,7,0),0)</f>
        <v>0</v>
      </c>
      <c r="F372" s="1">
        <f>+IFERROR(VLOOKUP(A372,'[49]TB NEW'!$A$6:$P$714,10,0),0)</f>
        <v>0</v>
      </c>
      <c r="G372" s="18">
        <f t="shared" si="10"/>
        <v>235492</v>
      </c>
      <c r="H372" s="18">
        <f t="shared" si="10"/>
        <v>0</v>
      </c>
      <c r="I372" s="18">
        <f t="shared" si="11"/>
        <v>235492</v>
      </c>
    </row>
    <row r="373" spans="1:9">
      <c r="A373" s="10" t="s">
        <v>372</v>
      </c>
      <c r="B373" s="11"/>
      <c r="C373" s="12">
        <v>267860</v>
      </c>
      <c r="E373" s="1">
        <f>+IFERROR(VLOOKUP(A373,'[49]TB NEW'!$A$6:$P$714,7,0),0)</f>
        <v>0</v>
      </c>
      <c r="F373" s="1">
        <f>+IFERROR(VLOOKUP(A373,'[49]TB NEW'!$A$6:$P$714,10,0),0)</f>
        <v>351168</v>
      </c>
      <c r="G373" s="18">
        <f t="shared" si="10"/>
        <v>0</v>
      </c>
      <c r="H373" s="18">
        <f t="shared" si="10"/>
        <v>-83308</v>
      </c>
      <c r="I373" s="18">
        <f t="shared" si="11"/>
        <v>-83308</v>
      </c>
    </row>
    <row r="374" spans="1:9">
      <c r="A374" s="10" t="s">
        <v>373</v>
      </c>
      <c r="B374" s="12">
        <v>19841</v>
      </c>
      <c r="C374" s="11"/>
      <c r="E374" s="1">
        <f>+IFERROR(VLOOKUP(A374,'[49]TB NEW'!$A$6:$P$714,7,0),0)</f>
        <v>19841</v>
      </c>
      <c r="F374" s="1">
        <f>+IFERROR(VLOOKUP(A374,'[49]TB NEW'!$A$6:$P$714,10,0),0)</f>
        <v>0</v>
      </c>
      <c r="G374" s="18">
        <f t="shared" si="10"/>
        <v>0</v>
      </c>
      <c r="H374" s="18">
        <f t="shared" si="10"/>
        <v>0</v>
      </c>
      <c r="I374" s="18">
        <f t="shared" si="11"/>
        <v>0</v>
      </c>
    </row>
    <row r="375" spans="1:9">
      <c r="A375" s="10" t="s">
        <v>526</v>
      </c>
      <c r="B375" s="12">
        <v>4717</v>
      </c>
      <c r="C375" s="11"/>
      <c r="E375" s="1">
        <f>+IFERROR(VLOOKUP(A375,'[49]TB NEW'!$A$6:$P$714,7,0),0)</f>
        <v>0</v>
      </c>
      <c r="F375" s="1">
        <f>+IFERROR(VLOOKUP(A375,'[49]TB NEW'!$A$6:$P$714,10,0),0)</f>
        <v>0</v>
      </c>
      <c r="G375" s="18">
        <f t="shared" si="10"/>
        <v>4717</v>
      </c>
      <c r="H375" s="18">
        <f t="shared" si="10"/>
        <v>0</v>
      </c>
      <c r="I375" s="18">
        <f t="shared" si="11"/>
        <v>4717</v>
      </c>
    </row>
    <row r="376" spans="1:9">
      <c r="A376" s="10" t="s">
        <v>376</v>
      </c>
      <c r="B376" s="11"/>
      <c r="C376" s="12">
        <v>6255</v>
      </c>
      <c r="E376" s="1">
        <f>+IFERROR(VLOOKUP(A376,'[49]TB NEW'!$A$6:$P$714,7,0),0)</f>
        <v>0</v>
      </c>
      <c r="F376" s="1">
        <f>+IFERROR(VLOOKUP(A376,'[49]TB NEW'!$A$6:$P$714,10,0),0)</f>
        <v>5038</v>
      </c>
      <c r="G376" s="18">
        <f t="shared" si="10"/>
        <v>0</v>
      </c>
      <c r="H376" s="18">
        <f t="shared" si="10"/>
        <v>1217</v>
      </c>
      <c r="I376" s="18">
        <f t="shared" si="11"/>
        <v>1217</v>
      </c>
    </row>
    <row r="377" spans="1:9">
      <c r="A377" s="10" t="s">
        <v>527</v>
      </c>
      <c r="B377" s="11"/>
      <c r="C377" s="12">
        <v>15973</v>
      </c>
      <c r="E377" s="1">
        <f>+IFERROR(VLOOKUP(A377,'[49]TB NEW'!$A$6:$P$714,7,0),0)</f>
        <v>0</v>
      </c>
      <c r="F377" s="1">
        <f>+IFERROR(VLOOKUP(A377,'[49]TB NEW'!$A$6:$P$714,10,0),0)</f>
        <v>0</v>
      </c>
      <c r="G377" s="18">
        <f t="shared" si="10"/>
        <v>0</v>
      </c>
      <c r="H377" s="18">
        <f t="shared" si="10"/>
        <v>15973</v>
      </c>
      <c r="I377" s="18">
        <f t="shared" si="11"/>
        <v>15973</v>
      </c>
    </row>
    <row r="378" spans="1:9">
      <c r="A378" s="10" t="s">
        <v>377</v>
      </c>
      <c r="B378" s="11"/>
      <c r="C378" s="12">
        <v>9720.0400000000009</v>
      </c>
      <c r="E378" s="1">
        <f>+IFERROR(VLOOKUP(A378,'[49]TB NEW'!$A$6:$P$714,7,0),0)</f>
        <v>0</v>
      </c>
      <c r="F378" s="1">
        <f>+IFERROR(VLOOKUP(A378,'[49]TB NEW'!$A$6:$P$714,10,0),0)</f>
        <v>16096.04</v>
      </c>
      <c r="G378" s="18">
        <f t="shared" si="10"/>
        <v>0</v>
      </c>
      <c r="H378" s="18">
        <f t="shared" si="10"/>
        <v>-6376</v>
      </c>
      <c r="I378" s="18">
        <f t="shared" si="11"/>
        <v>-6376</v>
      </c>
    </row>
    <row r="379" spans="1:9">
      <c r="A379" s="10" t="s">
        <v>378</v>
      </c>
      <c r="B379" s="11"/>
      <c r="C379" s="12">
        <v>63570</v>
      </c>
      <c r="E379" s="1">
        <f>+IFERROR(VLOOKUP(A379,'[49]TB NEW'!$A$6:$P$714,7,0),0)</f>
        <v>0</v>
      </c>
      <c r="F379" s="1">
        <f>+IFERROR(VLOOKUP(A379,'[49]TB NEW'!$A$6:$P$714,10,0),0)</f>
        <v>47856</v>
      </c>
      <c r="G379" s="18">
        <f t="shared" si="10"/>
        <v>0</v>
      </c>
      <c r="H379" s="18">
        <f t="shared" si="10"/>
        <v>15714</v>
      </c>
      <c r="I379" s="18">
        <f t="shared" si="11"/>
        <v>15714</v>
      </c>
    </row>
    <row r="380" spans="1:9">
      <c r="A380" s="10" t="s">
        <v>379</v>
      </c>
      <c r="B380" s="11"/>
      <c r="C380" s="12">
        <v>3900</v>
      </c>
      <c r="E380" s="1">
        <f>+IFERROR(VLOOKUP(A380,'[49]TB NEW'!$A$6:$P$714,7,0),0)</f>
        <v>0</v>
      </c>
      <c r="F380" s="1">
        <f>+IFERROR(VLOOKUP(A380,'[49]TB NEW'!$A$6:$P$714,10,0),0)</f>
        <v>3900</v>
      </c>
      <c r="G380" s="18">
        <f t="shared" si="10"/>
        <v>0</v>
      </c>
      <c r="H380" s="18">
        <f t="shared" si="10"/>
        <v>0</v>
      </c>
      <c r="I380" s="18">
        <f t="shared" si="11"/>
        <v>0</v>
      </c>
    </row>
    <row r="381" spans="1:9">
      <c r="A381" s="10" t="s">
        <v>380</v>
      </c>
      <c r="B381" s="11"/>
      <c r="C381" s="12">
        <v>82885</v>
      </c>
      <c r="E381" s="1">
        <f>+IFERROR(VLOOKUP(A381,'[49]TB NEW'!$A$6:$P$714,7,0),0)</f>
        <v>0</v>
      </c>
      <c r="F381" s="1">
        <f>+IFERROR(VLOOKUP(A381,'[49]TB NEW'!$A$6:$P$714,10,0),0)</f>
        <v>87060</v>
      </c>
      <c r="G381" s="18">
        <f t="shared" si="10"/>
        <v>0</v>
      </c>
      <c r="H381" s="18">
        <f t="shared" si="10"/>
        <v>-4175</v>
      </c>
      <c r="I381" s="18">
        <f t="shared" si="11"/>
        <v>-4175</v>
      </c>
    </row>
    <row r="382" spans="1:9">
      <c r="A382" s="10" t="s">
        <v>381</v>
      </c>
      <c r="B382" s="11"/>
      <c r="C382" s="12">
        <v>122000</v>
      </c>
      <c r="E382" s="1">
        <f>+IFERROR(VLOOKUP(A382,'[49]TB NEW'!$A$6:$P$714,7,0),0)</f>
        <v>0</v>
      </c>
      <c r="F382" s="1">
        <f>+IFERROR(VLOOKUP(A382,'[49]TB NEW'!$A$6:$P$714,10,0),0)</f>
        <v>92000</v>
      </c>
      <c r="G382" s="18">
        <f t="shared" si="10"/>
        <v>0</v>
      </c>
      <c r="H382" s="18">
        <f t="shared" si="10"/>
        <v>30000</v>
      </c>
      <c r="I382" s="18">
        <f t="shared" si="11"/>
        <v>30000</v>
      </c>
    </row>
    <row r="383" spans="1:9">
      <c r="A383" s="10" t="s">
        <v>382</v>
      </c>
      <c r="B383" s="11"/>
      <c r="C383" s="12">
        <v>1977</v>
      </c>
      <c r="E383" s="1">
        <f>+IFERROR(VLOOKUP(A383,'[49]TB NEW'!$A$6:$P$714,7,0),0)</f>
        <v>0</v>
      </c>
      <c r="F383" s="1">
        <f>+IFERROR(VLOOKUP(A383,'[49]TB NEW'!$A$6:$P$714,10,0),0)</f>
        <v>1977</v>
      </c>
      <c r="G383" s="18">
        <f t="shared" si="10"/>
        <v>0</v>
      </c>
      <c r="H383" s="18">
        <f t="shared" si="10"/>
        <v>0</v>
      </c>
      <c r="I383" s="18">
        <f t="shared" si="11"/>
        <v>0</v>
      </c>
    </row>
    <row r="384" spans="1:9">
      <c r="A384" s="10" t="s">
        <v>383</v>
      </c>
      <c r="B384" s="11"/>
      <c r="C384" s="12">
        <v>814.4</v>
      </c>
      <c r="E384" s="1">
        <f>+IFERROR(VLOOKUP(A384,'[49]TB NEW'!$A$6:$P$714,7,0),0)</f>
        <v>0</v>
      </c>
      <c r="F384" s="1">
        <f>+IFERROR(VLOOKUP(A384,'[49]TB NEW'!$A$6:$P$714,10,0),0)</f>
        <v>50893.4</v>
      </c>
      <c r="G384" s="18">
        <f t="shared" si="10"/>
        <v>0</v>
      </c>
      <c r="H384" s="18">
        <f t="shared" si="10"/>
        <v>-50079</v>
      </c>
      <c r="I384" s="18">
        <f t="shared" si="11"/>
        <v>-50079</v>
      </c>
    </row>
    <row r="385" spans="1:9">
      <c r="A385" s="10" t="s">
        <v>384</v>
      </c>
      <c r="B385" s="12">
        <v>107805.92</v>
      </c>
      <c r="C385" s="11"/>
      <c r="E385" s="1">
        <f>+IFERROR(VLOOKUP(A385,'[49]TB NEW'!$A$6:$P$714,7,0),0)</f>
        <v>60230.080000000002</v>
      </c>
      <c r="F385" s="1">
        <f>+IFERROR(VLOOKUP(A385,'[49]TB NEW'!$A$6:$P$714,10,0),0)</f>
        <v>0</v>
      </c>
      <c r="G385" s="18">
        <f t="shared" si="10"/>
        <v>47575.839999999997</v>
      </c>
      <c r="H385" s="18">
        <f t="shared" si="10"/>
        <v>0</v>
      </c>
      <c r="I385" s="18">
        <f t="shared" si="11"/>
        <v>47575.839999999997</v>
      </c>
    </row>
    <row r="386" spans="1:9">
      <c r="A386" s="10" t="s">
        <v>385</v>
      </c>
      <c r="B386" s="11"/>
      <c r="C386" s="12">
        <v>6466.92</v>
      </c>
      <c r="E386" s="1">
        <f>+IFERROR(VLOOKUP(A386,'[49]TB NEW'!$A$6:$P$714,7,0),0)</f>
        <v>0</v>
      </c>
      <c r="F386" s="1">
        <f>+IFERROR(VLOOKUP(A386,'[49]TB NEW'!$A$6:$P$714,10,0),0)</f>
        <v>4200</v>
      </c>
      <c r="G386" s="18">
        <f t="shared" si="10"/>
        <v>0</v>
      </c>
      <c r="H386" s="18">
        <f t="shared" si="10"/>
        <v>2266.92</v>
      </c>
      <c r="I386" s="18">
        <f t="shared" si="11"/>
        <v>2266.92</v>
      </c>
    </row>
    <row r="387" spans="1:9">
      <c r="A387" s="10" t="s">
        <v>386</v>
      </c>
      <c r="B387" s="12">
        <v>14800</v>
      </c>
      <c r="C387" s="11"/>
      <c r="E387" s="1">
        <f>+IFERROR(VLOOKUP(A387,'[49]TB NEW'!$A$6:$P$714,7,0),0)</f>
        <v>97188</v>
      </c>
      <c r="F387" s="1">
        <f>+IFERROR(VLOOKUP(A387,'[49]TB NEW'!$A$6:$P$714,10,0),0)</f>
        <v>0</v>
      </c>
      <c r="G387" s="18">
        <f t="shared" si="10"/>
        <v>-82388</v>
      </c>
      <c r="H387" s="18">
        <f t="shared" si="10"/>
        <v>0</v>
      </c>
      <c r="I387" s="18">
        <f t="shared" si="11"/>
        <v>-82388</v>
      </c>
    </row>
    <row r="388" spans="1:9">
      <c r="A388" s="10" t="s">
        <v>528</v>
      </c>
      <c r="B388" s="11"/>
      <c r="C388" s="12">
        <v>163898</v>
      </c>
      <c r="E388" s="1">
        <f>+IFERROR(VLOOKUP(A388,'[49]TB NEW'!$A$6:$P$714,7,0),0)</f>
        <v>0</v>
      </c>
      <c r="F388" s="1">
        <f>+IFERROR(VLOOKUP(A388,'[49]TB NEW'!$A$6:$P$714,10,0),0)</f>
        <v>0</v>
      </c>
      <c r="G388" s="18">
        <f t="shared" si="10"/>
        <v>0</v>
      </c>
      <c r="H388" s="18">
        <f t="shared" si="10"/>
        <v>163898</v>
      </c>
      <c r="I388" s="18">
        <f t="shared" si="11"/>
        <v>163898</v>
      </c>
    </row>
    <row r="389" spans="1:9">
      <c r="A389" s="10" t="s">
        <v>387</v>
      </c>
      <c r="B389" s="11"/>
      <c r="C389" s="12">
        <v>303024</v>
      </c>
      <c r="E389" s="1">
        <f>+IFERROR(VLOOKUP(A389,'[49]TB NEW'!$A$6:$P$714,7,0),0)</f>
        <v>0</v>
      </c>
      <c r="F389" s="1">
        <f>+IFERROR(VLOOKUP(A389,'[49]TB NEW'!$A$6:$P$714,10,0),0)</f>
        <v>553184</v>
      </c>
      <c r="G389" s="18">
        <f t="shared" si="10"/>
        <v>0</v>
      </c>
      <c r="H389" s="18">
        <f t="shared" si="10"/>
        <v>-250160</v>
      </c>
      <c r="I389" s="18">
        <f t="shared" si="11"/>
        <v>-250160</v>
      </c>
    </row>
    <row r="390" spans="1:9">
      <c r="A390" s="10" t="s">
        <v>388</v>
      </c>
      <c r="B390" s="12">
        <v>16463</v>
      </c>
      <c r="C390" s="11"/>
      <c r="E390" s="1">
        <f>+IFERROR(VLOOKUP(A390,'[49]TB NEW'!$A$6:$P$714,7,0),0)</f>
        <v>61964</v>
      </c>
      <c r="F390" s="1">
        <f>+IFERROR(VLOOKUP(A390,'[49]TB NEW'!$A$6:$P$714,10,0),0)</f>
        <v>0</v>
      </c>
      <c r="G390" s="18">
        <f t="shared" si="10"/>
        <v>-45501</v>
      </c>
      <c r="H390" s="18">
        <f t="shared" si="10"/>
        <v>0</v>
      </c>
      <c r="I390" s="18">
        <f t="shared" si="11"/>
        <v>-45501</v>
      </c>
    </row>
    <row r="391" spans="1:9">
      <c r="A391" s="10" t="s">
        <v>389</v>
      </c>
      <c r="B391" s="12">
        <v>622583.19999999995</v>
      </c>
      <c r="C391" s="11"/>
      <c r="E391" s="1">
        <f>+IFERROR(VLOOKUP(A391,'[49]TB NEW'!$A$6:$P$714,7,0),0)</f>
        <v>1281082.44</v>
      </c>
      <c r="F391" s="1">
        <f>+IFERROR(VLOOKUP(A391,'[49]TB NEW'!$A$6:$P$714,10,0),0)</f>
        <v>0</v>
      </c>
      <c r="G391" s="18">
        <f t="shared" si="10"/>
        <v>-658499.24</v>
      </c>
      <c r="H391" s="18">
        <f t="shared" si="10"/>
        <v>0</v>
      </c>
      <c r="I391" s="18">
        <f t="shared" si="11"/>
        <v>-658499.24</v>
      </c>
    </row>
    <row r="392" spans="1:9">
      <c r="A392" s="10" t="s">
        <v>390</v>
      </c>
      <c r="B392" s="11"/>
      <c r="C392" s="12">
        <v>90301</v>
      </c>
      <c r="E392" s="1">
        <f>+IFERROR(VLOOKUP(A392,'[49]TB NEW'!$A$6:$P$714,7,0),0)</f>
        <v>0</v>
      </c>
      <c r="F392" s="1">
        <f>+IFERROR(VLOOKUP(A392,'[49]TB NEW'!$A$6:$P$714,10,0),0)</f>
        <v>88755</v>
      </c>
      <c r="G392" s="18">
        <f t="shared" si="10"/>
        <v>0</v>
      </c>
      <c r="H392" s="18">
        <f t="shared" si="10"/>
        <v>1546</v>
      </c>
      <c r="I392" s="18">
        <f t="shared" si="11"/>
        <v>1546</v>
      </c>
    </row>
    <row r="393" spans="1:9">
      <c r="A393" s="10" t="s">
        <v>393</v>
      </c>
      <c r="B393" s="12">
        <v>375000</v>
      </c>
      <c r="C393" s="11"/>
      <c r="E393" s="1">
        <f>+IFERROR(VLOOKUP(A393,'[49]TB NEW'!$A$6:$P$714,7,0),0)</f>
        <v>350000</v>
      </c>
      <c r="F393" s="1">
        <f>+IFERROR(VLOOKUP(A393,'[49]TB NEW'!$A$6:$P$714,10,0),0)</f>
        <v>0</v>
      </c>
      <c r="G393" s="18">
        <f t="shared" si="10"/>
        <v>25000</v>
      </c>
      <c r="H393" s="18">
        <f t="shared" si="10"/>
        <v>0</v>
      </c>
      <c r="I393" s="18">
        <f t="shared" si="11"/>
        <v>25000</v>
      </c>
    </row>
    <row r="394" spans="1:9">
      <c r="A394" s="10" t="s">
        <v>394</v>
      </c>
      <c r="B394" s="12">
        <v>767149</v>
      </c>
      <c r="C394" s="11"/>
      <c r="E394" s="1">
        <f>+IFERROR(VLOOKUP(A394,'[49]TB NEW'!$A$6:$P$714,7,0),0)</f>
        <v>676306.5</v>
      </c>
      <c r="F394" s="1">
        <f>+IFERROR(VLOOKUP(A394,'[49]TB NEW'!$A$6:$P$714,10,0),0)</f>
        <v>0</v>
      </c>
      <c r="G394" s="18">
        <f t="shared" si="10"/>
        <v>90842.5</v>
      </c>
      <c r="H394" s="18">
        <f t="shared" si="10"/>
        <v>0</v>
      </c>
      <c r="I394" s="18">
        <f t="shared" si="11"/>
        <v>90842.5</v>
      </c>
    </row>
    <row r="395" spans="1:9">
      <c r="A395" s="10" t="s">
        <v>396</v>
      </c>
      <c r="B395" s="11"/>
      <c r="C395" s="12">
        <v>82180</v>
      </c>
      <c r="E395" s="1">
        <f>+IFERROR(VLOOKUP(A395,'[49]TB NEW'!$A$6:$P$714,7,0),0)</f>
        <v>0</v>
      </c>
      <c r="F395" s="1">
        <f>+IFERROR(VLOOKUP(A395,'[49]TB NEW'!$A$6:$P$714,10,0),0)</f>
        <v>93420</v>
      </c>
      <c r="G395" s="18">
        <f t="shared" ref="G395:H412" si="12">+B395-E395</f>
        <v>0</v>
      </c>
      <c r="H395" s="18">
        <f t="shared" si="12"/>
        <v>-11240</v>
      </c>
      <c r="I395" s="18">
        <f t="shared" ref="I395:I422" si="13">+G395+H395</f>
        <v>-11240</v>
      </c>
    </row>
    <row r="396" spans="1:9">
      <c r="A396" s="10" t="s">
        <v>397</v>
      </c>
      <c r="B396" s="11"/>
      <c r="C396" s="12">
        <v>1276901</v>
      </c>
      <c r="E396" s="1">
        <f>+IFERROR(VLOOKUP(A396,'[49]TB NEW'!$A$6:$P$714,7,0),0)</f>
        <v>0</v>
      </c>
      <c r="F396" s="1">
        <f>+IFERROR(VLOOKUP(A396,'[49]TB NEW'!$A$6:$P$714,10,0),0)</f>
        <v>2274218</v>
      </c>
      <c r="G396" s="18">
        <f t="shared" si="12"/>
        <v>0</v>
      </c>
      <c r="H396" s="18">
        <f t="shared" si="12"/>
        <v>-997317</v>
      </c>
      <c r="I396" s="18">
        <f t="shared" si="13"/>
        <v>-997317</v>
      </c>
    </row>
    <row r="397" spans="1:9">
      <c r="A397" s="10" t="s">
        <v>529</v>
      </c>
      <c r="B397" s="11"/>
      <c r="C397" s="12">
        <v>51588</v>
      </c>
      <c r="E397" s="1">
        <f>+IFERROR(VLOOKUP(A397,'[49]TB NEW'!$A$6:$P$714,7,0),0)</f>
        <v>0</v>
      </c>
      <c r="F397" s="1">
        <f>+IFERROR(VLOOKUP(A397,'[49]TB NEW'!$A$6:$P$714,10,0),0)</f>
        <v>0</v>
      </c>
      <c r="G397" s="18">
        <f t="shared" si="12"/>
        <v>0</v>
      </c>
      <c r="H397" s="18">
        <f t="shared" si="12"/>
        <v>51588</v>
      </c>
      <c r="I397" s="18">
        <f t="shared" si="13"/>
        <v>51588</v>
      </c>
    </row>
    <row r="398" spans="1:9">
      <c r="A398" s="10" t="s">
        <v>530</v>
      </c>
      <c r="B398" s="12">
        <v>427952</v>
      </c>
      <c r="C398" s="11"/>
      <c r="E398" s="1">
        <f>+IFERROR(VLOOKUP(A398,'[49]TB NEW'!$A$6:$P$714,7,0),0)</f>
        <v>0</v>
      </c>
      <c r="F398" s="1">
        <f>+IFERROR(VLOOKUP(A398,'[49]TB NEW'!$A$6:$P$714,10,0),0)</f>
        <v>0</v>
      </c>
      <c r="G398" s="18">
        <f t="shared" si="12"/>
        <v>427952</v>
      </c>
      <c r="H398" s="18">
        <f t="shared" si="12"/>
        <v>0</v>
      </c>
      <c r="I398" s="18">
        <f t="shared" si="13"/>
        <v>427952</v>
      </c>
    </row>
    <row r="399" spans="1:9">
      <c r="A399" s="10" t="s">
        <v>531</v>
      </c>
      <c r="B399" s="12">
        <v>37000</v>
      </c>
      <c r="C399" s="11"/>
      <c r="E399" s="1">
        <f>+IFERROR(VLOOKUP(A399,'[49]TB NEW'!$A$6:$P$714,7,0),0)</f>
        <v>0</v>
      </c>
      <c r="F399" s="1">
        <f>+IFERROR(VLOOKUP(A399,'[49]TB NEW'!$A$6:$P$714,10,0),0)</f>
        <v>0</v>
      </c>
      <c r="G399" s="18">
        <f t="shared" si="12"/>
        <v>37000</v>
      </c>
      <c r="H399" s="18">
        <f t="shared" si="12"/>
        <v>0</v>
      </c>
      <c r="I399" s="18">
        <f t="shared" si="13"/>
        <v>37000</v>
      </c>
    </row>
    <row r="400" spans="1:9">
      <c r="A400" s="10" t="s">
        <v>532</v>
      </c>
      <c r="B400" s="12">
        <v>13978.36</v>
      </c>
      <c r="C400" s="11"/>
      <c r="E400" s="1">
        <f>+IFERROR(VLOOKUP(A400,'[49]TB NEW'!$A$6:$P$714,7,0),0)</f>
        <v>0</v>
      </c>
      <c r="F400" s="1">
        <f>+IFERROR(VLOOKUP(A400,'[49]TB NEW'!$A$6:$P$714,10,0),0)</f>
        <v>0</v>
      </c>
      <c r="G400" s="18">
        <f t="shared" si="12"/>
        <v>13978.36</v>
      </c>
      <c r="H400" s="18">
        <f t="shared" si="12"/>
        <v>0</v>
      </c>
      <c r="I400" s="18">
        <f t="shared" si="13"/>
        <v>13978.36</v>
      </c>
    </row>
    <row r="401" spans="1:9">
      <c r="A401" s="10" t="s">
        <v>533</v>
      </c>
      <c r="B401" s="12">
        <v>10451</v>
      </c>
      <c r="C401" s="11"/>
      <c r="E401" s="1">
        <f>+IFERROR(VLOOKUP(A401,'[49]TB NEW'!$A$6:$P$714,7,0),0)</f>
        <v>0</v>
      </c>
      <c r="F401" s="1">
        <f>+IFERROR(VLOOKUP(A401,'[49]TB NEW'!$A$6:$P$714,10,0),0)</f>
        <v>0</v>
      </c>
      <c r="G401" s="18">
        <f t="shared" si="12"/>
        <v>10451</v>
      </c>
      <c r="H401" s="18">
        <f t="shared" si="12"/>
        <v>0</v>
      </c>
      <c r="I401" s="18">
        <f t="shared" si="13"/>
        <v>10451</v>
      </c>
    </row>
    <row r="402" spans="1:9">
      <c r="A402" s="10" t="s">
        <v>534</v>
      </c>
      <c r="B402" s="12">
        <v>439878</v>
      </c>
      <c r="C402" s="11"/>
      <c r="E402" s="1">
        <f>+IFERROR(VLOOKUP(A402,'[49]TB NEW'!$A$6:$P$714,7,0),0)</f>
        <v>0</v>
      </c>
      <c r="F402" s="1">
        <f>+IFERROR(VLOOKUP(A402,'[49]TB NEW'!$A$6:$P$714,10,0),0)</f>
        <v>0</v>
      </c>
      <c r="G402" s="18">
        <f t="shared" si="12"/>
        <v>439878</v>
      </c>
      <c r="H402" s="18">
        <f t="shared" si="12"/>
        <v>0</v>
      </c>
      <c r="I402" s="18">
        <f t="shared" si="13"/>
        <v>439878</v>
      </c>
    </row>
    <row r="403" spans="1:9">
      <c r="A403" s="10" t="s">
        <v>535</v>
      </c>
      <c r="B403" s="12">
        <v>151873</v>
      </c>
      <c r="C403" s="11"/>
      <c r="E403" s="1">
        <f>+IFERROR(VLOOKUP(A403,'[49]TB NEW'!$A$6:$P$714,7,0),0)</f>
        <v>0</v>
      </c>
      <c r="F403" s="1">
        <f>+IFERROR(VLOOKUP(A403,'[49]TB NEW'!$A$6:$P$714,10,0),0)</f>
        <v>0</v>
      </c>
      <c r="G403" s="18">
        <f t="shared" si="12"/>
        <v>151873</v>
      </c>
      <c r="H403" s="18">
        <f t="shared" si="12"/>
        <v>0</v>
      </c>
      <c r="I403" s="18">
        <f t="shared" si="13"/>
        <v>151873</v>
      </c>
    </row>
    <row r="404" spans="1:9">
      <c r="A404" s="10" t="s">
        <v>401</v>
      </c>
      <c r="B404" s="12">
        <v>1961724</v>
      </c>
      <c r="C404" s="11"/>
      <c r="E404" s="1">
        <f>+IFERROR(VLOOKUP(A404,'[49]TB NEW'!$A$6:$P$714,7,0),0)</f>
        <v>4350231</v>
      </c>
      <c r="F404" s="1">
        <f>+IFERROR(VLOOKUP(A404,'[49]TB NEW'!$A$6:$P$714,10,0),0)</f>
        <v>0</v>
      </c>
      <c r="G404" s="18">
        <f t="shared" si="12"/>
        <v>-2388507</v>
      </c>
      <c r="H404" s="18">
        <f t="shared" si="12"/>
        <v>0</v>
      </c>
      <c r="I404" s="18">
        <f t="shared" si="13"/>
        <v>-2388507</v>
      </c>
    </row>
    <row r="405" spans="1:9">
      <c r="A405" s="10" t="s">
        <v>402</v>
      </c>
      <c r="B405" s="12">
        <v>369756</v>
      </c>
      <c r="C405" s="11"/>
      <c r="E405" s="1">
        <f>+IFERROR(VLOOKUP(A405,'[49]TB NEW'!$A$6:$P$714,7,0),0)</f>
        <v>332580</v>
      </c>
      <c r="F405" s="1">
        <f>+IFERROR(VLOOKUP(A405,'[49]TB NEW'!$A$6:$P$714,10,0),0)</f>
        <v>0</v>
      </c>
      <c r="G405" s="18">
        <f t="shared" si="12"/>
        <v>37176</v>
      </c>
      <c r="H405" s="18">
        <f t="shared" si="12"/>
        <v>0</v>
      </c>
      <c r="I405" s="18">
        <f t="shared" si="13"/>
        <v>37176</v>
      </c>
    </row>
    <row r="406" spans="1:9">
      <c r="A406" s="10" t="s">
        <v>403</v>
      </c>
      <c r="B406" s="12">
        <v>226251.5</v>
      </c>
      <c r="C406" s="11"/>
      <c r="E406" s="1">
        <f>+IFERROR(VLOOKUP(A406,'[49]TB NEW'!$A$6:$P$714,7,0),0)</f>
        <v>254656</v>
      </c>
      <c r="F406" s="1">
        <f>+IFERROR(VLOOKUP(A406,'[49]TB NEW'!$A$6:$P$714,10,0),0)</f>
        <v>0</v>
      </c>
      <c r="G406" s="18">
        <f t="shared" si="12"/>
        <v>-28404.5</v>
      </c>
      <c r="H406" s="18">
        <f t="shared" si="12"/>
        <v>0</v>
      </c>
      <c r="I406" s="18">
        <f t="shared" si="13"/>
        <v>-28404.5</v>
      </c>
    </row>
    <row r="407" spans="1:9">
      <c r="A407" s="10" t="s">
        <v>406</v>
      </c>
      <c r="B407" s="11"/>
      <c r="C407" s="12">
        <v>615157</v>
      </c>
      <c r="E407" s="1">
        <f>+IFERROR(VLOOKUP(A407,'[49]TB NEW'!$A$6:$P$714,7,0),0)</f>
        <v>0</v>
      </c>
      <c r="F407" s="1">
        <f>+IFERROR(VLOOKUP(A407,'[49]TB NEW'!$A$6:$P$714,10,0),0)</f>
        <v>699844</v>
      </c>
      <c r="G407" s="18">
        <f t="shared" si="12"/>
        <v>0</v>
      </c>
      <c r="H407" s="18">
        <f t="shared" si="12"/>
        <v>-84687</v>
      </c>
      <c r="I407" s="18">
        <f t="shared" si="13"/>
        <v>-84687</v>
      </c>
    </row>
    <row r="408" spans="1:9">
      <c r="A408" s="10" t="s">
        <v>536</v>
      </c>
      <c r="B408" s="11"/>
      <c r="C408" s="12">
        <v>1343823</v>
      </c>
      <c r="E408" s="1">
        <f>+IFERROR(VLOOKUP(A408,'[49]TB NEW'!$A$6:$P$714,7,0),0)</f>
        <v>0</v>
      </c>
      <c r="F408" s="1">
        <f>+IFERROR(VLOOKUP(A408,'[49]TB NEW'!$A$6:$P$714,10,0),0)</f>
        <v>0</v>
      </c>
      <c r="G408" s="18">
        <f t="shared" si="12"/>
        <v>0</v>
      </c>
      <c r="H408" s="18">
        <f t="shared" si="12"/>
        <v>1343823</v>
      </c>
      <c r="I408" s="18">
        <f t="shared" si="13"/>
        <v>1343823</v>
      </c>
    </row>
    <row r="409" spans="1:9">
      <c r="A409" s="10" t="s">
        <v>537</v>
      </c>
      <c r="B409" s="11"/>
      <c r="C409" s="12">
        <v>621226</v>
      </c>
      <c r="E409" s="1">
        <f>+IFERROR(VLOOKUP(A409,'[49]TB NEW'!$A$6:$P$714,7,0),0)</f>
        <v>0</v>
      </c>
      <c r="F409" s="1">
        <f>+IFERROR(VLOOKUP(A409,'[49]TB NEW'!$A$6:$P$714,10,0),0)</f>
        <v>0</v>
      </c>
      <c r="G409" s="18">
        <f t="shared" si="12"/>
        <v>0</v>
      </c>
      <c r="H409" s="18">
        <f t="shared" si="12"/>
        <v>621226</v>
      </c>
      <c r="I409" s="18">
        <f t="shared" si="13"/>
        <v>621226</v>
      </c>
    </row>
    <row r="410" spans="1:9">
      <c r="A410" s="10" t="s">
        <v>538</v>
      </c>
      <c r="B410" s="12">
        <v>204778</v>
      </c>
      <c r="C410" s="11"/>
      <c r="E410" s="1">
        <f>+IFERROR(VLOOKUP(A410,'[49]TB NEW'!$A$6:$P$714,7,0),0)</f>
        <v>0</v>
      </c>
      <c r="F410" s="1">
        <f>+IFERROR(VLOOKUP(A410,'[49]TB NEW'!$A$6:$P$714,10,0),0)</f>
        <v>0</v>
      </c>
      <c r="G410" s="18">
        <f t="shared" si="12"/>
        <v>204778</v>
      </c>
      <c r="H410" s="18">
        <f t="shared" si="12"/>
        <v>0</v>
      </c>
      <c r="I410" s="18">
        <f t="shared" si="13"/>
        <v>204778</v>
      </c>
    </row>
    <row r="411" spans="1:9">
      <c r="A411" s="10" t="s">
        <v>408</v>
      </c>
      <c r="B411" s="11"/>
      <c r="C411" s="12">
        <v>226800</v>
      </c>
      <c r="E411" s="1">
        <f>+IFERROR(VLOOKUP(A411,'[49]TB NEW'!$A$6:$P$714,7,0),0)</f>
        <v>0</v>
      </c>
      <c r="F411" s="1">
        <f>+IFERROR(VLOOKUP(A411,'[49]TB NEW'!$A$6:$P$714,10,0),0)</f>
        <v>226800</v>
      </c>
      <c r="G411" s="18">
        <f t="shared" si="12"/>
        <v>0</v>
      </c>
      <c r="H411" s="18">
        <f t="shared" si="12"/>
        <v>0</v>
      </c>
      <c r="I411" s="18">
        <f t="shared" si="13"/>
        <v>0</v>
      </c>
    </row>
    <row r="412" spans="1:9" s="15" customFormat="1">
      <c r="A412" s="10" t="s">
        <v>539</v>
      </c>
      <c r="B412" s="12">
        <v>136710</v>
      </c>
      <c r="C412" s="11"/>
      <c r="E412" s="16">
        <f>+IFERROR(VLOOKUP(A412,'[49]TB NEW'!$A$6:$P$714,7,0),0)</f>
        <v>0</v>
      </c>
      <c r="F412" s="16">
        <f>+IFERROR(VLOOKUP(A412,'[49]TB NEW'!$A$6:$P$714,10,0),0)</f>
        <v>0</v>
      </c>
      <c r="G412" s="17">
        <f t="shared" si="12"/>
        <v>136710</v>
      </c>
      <c r="H412" s="17">
        <f t="shared" si="12"/>
        <v>0</v>
      </c>
      <c r="I412" s="17">
        <f t="shared" si="13"/>
        <v>136710</v>
      </c>
    </row>
    <row r="413" spans="1:9" s="15" customFormat="1">
      <c r="A413" s="10" t="s">
        <v>410</v>
      </c>
      <c r="B413" s="12">
        <v>6522638</v>
      </c>
      <c r="C413" s="11"/>
      <c r="E413" s="16">
        <f>+IFERROR(VLOOKUP(A413,'[49]TB NEW'!$A$6:$P$714,7,0),0)</f>
        <v>6659960</v>
      </c>
      <c r="F413" s="16">
        <f>+IFERROR(VLOOKUP(A413,'[49]TB NEW'!$A$6:$P$714,10,0),0)</f>
        <v>0</v>
      </c>
      <c r="G413" s="17">
        <f t="shared" ref="G413:H422" si="14">+B413-E413</f>
        <v>-137322</v>
      </c>
      <c r="H413" s="17">
        <f t="shared" si="14"/>
        <v>0</v>
      </c>
      <c r="I413" s="17">
        <f t="shared" si="13"/>
        <v>-137322</v>
      </c>
    </row>
    <row r="414" spans="1:9" s="15" customFormat="1">
      <c r="A414" s="10" t="s">
        <v>411</v>
      </c>
      <c r="B414" s="12">
        <v>274123635.5</v>
      </c>
      <c r="C414" s="11"/>
      <c r="E414" s="16">
        <f>+IFERROR(VLOOKUP(A414,'[49]TB NEW'!$A$6:$P$714,7,0),0)</f>
        <v>237660256</v>
      </c>
      <c r="F414" s="16">
        <f>+IFERROR(VLOOKUP(A414,'[49]TB NEW'!$A$6:$P$714,10,0),0)</f>
        <v>0</v>
      </c>
      <c r="G414" s="17">
        <f t="shared" si="14"/>
        <v>36463379.5</v>
      </c>
      <c r="H414" s="17">
        <f t="shared" si="14"/>
        <v>0</v>
      </c>
      <c r="I414" s="17">
        <f t="shared" si="13"/>
        <v>36463379.5</v>
      </c>
    </row>
    <row r="415" spans="1:9" s="15" customFormat="1">
      <c r="A415" s="10" t="s">
        <v>412</v>
      </c>
      <c r="B415" s="11"/>
      <c r="C415" s="12">
        <v>759998.6</v>
      </c>
      <c r="D415" s="14">
        <f t="shared" ref="D415" si="15">+SUM(D11:D414)</f>
        <v>0</v>
      </c>
      <c r="E415" s="16">
        <f>+IFERROR(VLOOKUP(A415,'[49]TB NEW'!$A$6:$P$714,7,0),0)</f>
        <v>0</v>
      </c>
      <c r="F415" s="16">
        <f>+IFERROR(VLOOKUP(A415,'[49]TB NEW'!$A$6:$P$714,10,0),0)</f>
        <v>732903.6</v>
      </c>
      <c r="G415" s="17">
        <f t="shared" si="14"/>
        <v>0</v>
      </c>
      <c r="H415" s="17">
        <f t="shared" si="14"/>
        <v>27095</v>
      </c>
      <c r="I415" s="17">
        <f t="shared" si="13"/>
        <v>27095</v>
      </c>
    </row>
    <row r="416" spans="1:9">
      <c r="A416" s="10" t="s">
        <v>414</v>
      </c>
      <c r="B416" s="12">
        <v>484789</v>
      </c>
      <c r="C416" s="11"/>
      <c r="E416" s="16">
        <f>+IFERROR(VLOOKUP(A416,'[49]TB NEW'!$A$6:$P$714,7,0),0)</f>
        <v>229919.2</v>
      </c>
      <c r="F416" s="16">
        <f>+IFERROR(VLOOKUP(A416,'[49]TB NEW'!$A$6:$P$714,10,0),0)</f>
        <v>0</v>
      </c>
      <c r="G416" s="17">
        <f t="shared" si="14"/>
        <v>254869.8</v>
      </c>
      <c r="H416" s="17">
        <f t="shared" si="14"/>
        <v>0</v>
      </c>
      <c r="I416" s="17">
        <f t="shared" si="13"/>
        <v>254869.8</v>
      </c>
    </row>
    <row r="417" spans="1:9">
      <c r="A417" s="10" t="s">
        <v>416</v>
      </c>
      <c r="B417" s="12">
        <v>14690</v>
      </c>
      <c r="C417" s="11"/>
      <c r="E417" s="16">
        <f>+IFERROR(VLOOKUP(A417,'[49]TB NEW'!$A$6:$P$714,7,0),0)</f>
        <v>5716</v>
      </c>
      <c r="F417" s="16">
        <f>+IFERROR(VLOOKUP(A417,'[49]TB NEW'!$A$6:$P$714,10,0),0)</f>
        <v>0</v>
      </c>
      <c r="G417" s="17">
        <f t="shared" si="14"/>
        <v>8974</v>
      </c>
      <c r="H417" s="17">
        <f t="shared" si="14"/>
        <v>0</v>
      </c>
      <c r="I417" s="17">
        <f t="shared" si="13"/>
        <v>8974</v>
      </c>
    </row>
    <row r="418" spans="1:9">
      <c r="A418" s="10" t="s">
        <v>540</v>
      </c>
      <c r="B418" s="11"/>
      <c r="C418" s="12">
        <v>22041</v>
      </c>
      <c r="E418" s="16">
        <f>+IFERROR(VLOOKUP(A418,'[49]TB NEW'!$A$6:$P$714,7,0),0)</f>
        <v>0</v>
      </c>
      <c r="F418" s="16">
        <f>+IFERROR(VLOOKUP(A418,'[49]TB NEW'!$A$6:$P$714,10,0),0)</f>
        <v>0</v>
      </c>
      <c r="G418" s="17">
        <f t="shared" si="14"/>
        <v>0</v>
      </c>
      <c r="H418" s="17">
        <f t="shared" si="14"/>
        <v>22041</v>
      </c>
      <c r="I418" s="17">
        <f t="shared" si="13"/>
        <v>22041</v>
      </c>
    </row>
    <row r="419" spans="1:9">
      <c r="A419" s="10" t="s">
        <v>417</v>
      </c>
      <c r="B419" s="12">
        <v>19528757</v>
      </c>
      <c r="C419" s="11"/>
      <c r="E419" s="16">
        <f>+IFERROR(VLOOKUP(A419,'[49]TB NEW'!$A$6:$P$714,7,0),0)</f>
        <v>18052885</v>
      </c>
      <c r="F419" s="16">
        <f>+IFERROR(VLOOKUP(A419,'[49]TB NEW'!$A$6:$P$714,10,0),0)</f>
        <v>0</v>
      </c>
      <c r="G419" s="17">
        <f t="shared" si="14"/>
        <v>1475872</v>
      </c>
      <c r="H419" s="17">
        <f t="shared" si="14"/>
        <v>0</v>
      </c>
      <c r="I419" s="17">
        <f t="shared" si="13"/>
        <v>1475872</v>
      </c>
    </row>
    <row r="420" spans="1:9">
      <c r="A420" s="10" t="s">
        <v>541</v>
      </c>
      <c r="B420" s="11"/>
      <c r="C420" s="12">
        <v>14337</v>
      </c>
      <c r="E420" s="16">
        <f>+IFERROR(VLOOKUP(A420,'[49]TB NEW'!$A$6:$P$714,7,0),0)</f>
        <v>0</v>
      </c>
      <c r="F420" s="16">
        <f>+IFERROR(VLOOKUP(A420,'[49]TB NEW'!$A$6:$P$714,10,0),0)</f>
        <v>0</v>
      </c>
      <c r="G420" s="17">
        <f t="shared" si="14"/>
        <v>0</v>
      </c>
      <c r="H420" s="17">
        <f t="shared" si="14"/>
        <v>14337</v>
      </c>
      <c r="I420" s="17">
        <f t="shared" si="13"/>
        <v>14337</v>
      </c>
    </row>
    <row r="421" spans="1:9">
      <c r="A421" s="10" t="s">
        <v>542</v>
      </c>
      <c r="B421" s="12">
        <v>1521769</v>
      </c>
      <c r="C421" s="11"/>
      <c r="E421" s="16">
        <f>+IFERROR(VLOOKUP(A421,'[49]TB NEW'!$A$6:$P$714,7,0),0)</f>
        <v>0</v>
      </c>
      <c r="F421" s="16">
        <f>+IFERROR(VLOOKUP(A421,'[49]TB NEW'!$A$6:$P$714,10,0),0)</f>
        <v>0</v>
      </c>
      <c r="G421" s="17">
        <f t="shared" si="14"/>
        <v>1521769</v>
      </c>
      <c r="H421" s="17">
        <f t="shared" si="14"/>
        <v>0</v>
      </c>
      <c r="I421" s="17">
        <f t="shared" si="13"/>
        <v>1521769</v>
      </c>
    </row>
    <row r="422" spans="1:9">
      <c r="A422" s="13" t="s">
        <v>418</v>
      </c>
      <c r="B422" s="14">
        <v>1293992393.96</v>
      </c>
      <c r="C422" s="14">
        <v>1293992393.96</v>
      </c>
      <c r="E422" s="16">
        <f>+IFERROR(VLOOKUP(A422,'[49]TB NEW'!$A$6:$P$714,7,0),0)</f>
        <v>0</v>
      </c>
      <c r="F422" s="16">
        <f>+IFERROR(VLOOKUP(A422,'[49]TB NEW'!$A$6:$P$714,10,0),0)</f>
        <v>0</v>
      </c>
      <c r="G422" s="17">
        <f t="shared" si="14"/>
        <v>1293992393.96</v>
      </c>
      <c r="H422" s="17">
        <f t="shared" si="14"/>
        <v>1293992393.96</v>
      </c>
      <c r="I422" s="17">
        <f t="shared" si="13"/>
        <v>2587984787.9200001</v>
      </c>
    </row>
  </sheetData>
  <customSheetViews>
    <customSheetView guid="{F039C147-8083-49A0-B541-A610A15BA793}">
      <selection sqref="A1:C1"/>
      <pageMargins left="0.7" right="0.7" top="0.75" bottom="0.75" header="0.3" footer="0.3"/>
    </customSheetView>
    <customSheetView guid="{F140806D-66CA-4A66-855A-CCBDE7D69760}">
      <selection sqref="A1:C1"/>
      <pageMargins left="0.7" right="0.7" top="0.75" bottom="0.75" header="0.3" footer="0.3"/>
    </customSheetView>
  </customSheetViews>
  <mergeCells count="9">
    <mergeCell ref="B7:C7"/>
    <mergeCell ref="B8:C8"/>
    <mergeCell ref="B9:C9"/>
    <mergeCell ref="A1:C1"/>
    <mergeCell ref="A2:C2"/>
    <mergeCell ref="A3:C3"/>
    <mergeCell ref="A4:C4"/>
    <mergeCell ref="A5:C5"/>
    <mergeCell ref="A6:C6"/>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0"/>
  <sheetViews>
    <sheetView topLeftCell="D24" workbookViewId="0">
      <selection activeCell="K1" sqref="K1:P37"/>
    </sheetView>
  </sheetViews>
  <sheetFormatPr defaultRowHeight="15"/>
  <cols>
    <col min="2" max="2" width="13.42578125" bestFit="1" customWidth="1"/>
    <col min="3" max="3" width="12.5703125" bestFit="1" customWidth="1"/>
    <col min="4" max="4" width="17" bestFit="1" customWidth="1"/>
    <col min="5" max="5" width="12.5703125" style="1" bestFit="1" customWidth="1"/>
    <col min="11" max="11" width="10.42578125" bestFit="1" customWidth="1"/>
    <col min="12" max="12" width="23.7109375" bestFit="1" customWidth="1"/>
    <col min="13" max="13" width="17.140625" style="1" bestFit="1" customWidth="1"/>
    <col min="14" max="14" width="15.42578125" style="1" bestFit="1" customWidth="1"/>
    <col min="15" max="15" width="14.28515625" style="1" bestFit="1" customWidth="1"/>
    <col min="16" max="16" width="16.28515625" bestFit="1" customWidth="1"/>
  </cols>
  <sheetData>
    <row r="1" spans="2:15">
      <c r="D1" s="78" t="s">
        <v>1307</v>
      </c>
      <c r="L1" s="250" t="s">
        <v>1317</v>
      </c>
    </row>
    <row r="2" spans="2:15">
      <c r="C2" s="252" t="s">
        <v>1303</v>
      </c>
      <c r="D2" s="252" t="s">
        <v>1304</v>
      </c>
      <c r="E2" s="253" t="s">
        <v>1241</v>
      </c>
      <c r="L2" s="250" t="s">
        <v>1324</v>
      </c>
    </row>
    <row r="3" spans="2:15">
      <c r="B3" s="250" t="s">
        <v>934</v>
      </c>
      <c r="L3" s="89" t="s">
        <v>1318</v>
      </c>
      <c r="M3" s="275" t="s">
        <v>1319</v>
      </c>
      <c r="N3" s="275" t="s">
        <v>1320</v>
      </c>
      <c r="O3" s="275" t="s">
        <v>1321</v>
      </c>
    </row>
    <row r="4" spans="2:15">
      <c r="B4" t="s">
        <v>1302</v>
      </c>
      <c r="C4" s="1">
        <f>5770000+10500</f>
        <v>5780500</v>
      </c>
      <c r="D4" s="1">
        <v>4327000</v>
      </c>
      <c r="E4" s="1">
        <f>+C4-D4</f>
        <v>1453500</v>
      </c>
      <c r="L4" s="84" t="s">
        <v>1322</v>
      </c>
      <c r="M4" s="275">
        <v>155138</v>
      </c>
      <c r="N4" s="275">
        <v>155578</v>
      </c>
      <c r="O4" s="275">
        <f t="shared" ref="O4:O9" si="0">+M4-N4</f>
        <v>-440</v>
      </c>
    </row>
    <row r="5" spans="2:15">
      <c r="B5" t="s">
        <v>1305</v>
      </c>
      <c r="C5" s="1">
        <v>3663000</v>
      </c>
      <c r="D5" s="1">
        <f>31.1355*100000</f>
        <v>3113550</v>
      </c>
      <c r="E5" s="1">
        <f>+C5-D5</f>
        <v>549450</v>
      </c>
      <c r="L5" s="84" t="s">
        <v>330</v>
      </c>
      <c r="M5" s="275">
        <v>82741</v>
      </c>
      <c r="N5" s="275">
        <v>82975</v>
      </c>
      <c r="O5" s="275">
        <f t="shared" si="0"/>
        <v>-234</v>
      </c>
    </row>
    <row r="6" spans="2:15">
      <c r="B6" s="78" t="s">
        <v>1306</v>
      </c>
      <c r="C6" s="251">
        <f t="shared" ref="C6:D6" si="1">+SUM(C4:C5)</f>
        <v>9443500</v>
      </c>
      <c r="D6" s="251">
        <f t="shared" si="1"/>
        <v>7440550</v>
      </c>
      <c r="E6" s="251">
        <f>+SUM(E4:E5)</f>
        <v>2002950</v>
      </c>
      <c r="L6" s="84" t="s">
        <v>194</v>
      </c>
      <c r="M6" s="275">
        <v>310278</v>
      </c>
      <c r="N6" s="275">
        <v>311157</v>
      </c>
      <c r="O6" s="275">
        <f t="shared" si="0"/>
        <v>-879</v>
      </c>
    </row>
    <row r="7" spans="2:15">
      <c r="L7" s="84" t="s">
        <v>145</v>
      </c>
      <c r="M7" s="275">
        <v>103427</v>
      </c>
      <c r="N7" s="275">
        <v>103720</v>
      </c>
      <c r="O7" s="275">
        <f t="shared" si="0"/>
        <v>-293</v>
      </c>
    </row>
    <row r="8" spans="2:15">
      <c r="B8" t="s">
        <v>1308</v>
      </c>
      <c r="L8" s="84" t="s">
        <v>1323</v>
      </c>
      <c r="M8" s="275">
        <v>103427</v>
      </c>
      <c r="N8" s="275">
        <v>103720</v>
      </c>
      <c r="O8" s="275">
        <f t="shared" si="0"/>
        <v>-293</v>
      </c>
    </row>
    <row r="9" spans="2:15">
      <c r="L9" s="84" t="s">
        <v>33</v>
      </c>
      <c r="M9" s="275">
        <v>82741</v>
      </c>
      <c r="N9" s="275">
        <v>82975</v>
      </c>
      <c r="O9" s="275">
        <f t="shared" si="0"/>
        <v>-234</v>
      </c>
    </row>
    <row r="10" spans="2:15">
      <c r="B10">
        <v>10799666</v>
      </c>
      <c r="L10" s="84"/>
      <c r="M10" s="276">
        <f t="shared" ref="M10:N10" si="2">+SUM(M4:M9)</f>
        <v>837752</v>
      </c>
      <c r="N10" s="276">
        <f t="shared" si="2"/>
        <v>840125</v>
      </c>
      <c r="O10" s="276">
        <f>+SUM(O4:O9)</f>
        <v>-2373</v>
      </c>
    </row>
    <row r="11" spans="2:15">
      <c r="B11" s="77">
        <v>-8026975</v>
      </c>
    </row>
    <row r="12" spans="2:15">
      <c r="B12" s="77"/>
      <c r="K12">
        <v>1</v>
      </c>
      <c r="L12" t="s">
        <v>1332</v>
      </c>
    </row>
    <row r="13" spans="2:15">
      <c r="B13" s="77"/>
      <c r="K13">
        <v>2</v>
      </c>
      <c r="L13" t="s">
        <v>1333</v>
      </c>
    </row>
    <row r="14" spans="2:15">
      <c r="B14" s="77"/>
      <c r="K14">
        <v>3</v>
      </c>
      <c r="L14" t="s">
        <v>1334</v>
      </c>
    </row>
    <row r="15" spans="2:15">
      <c r="B15" s="77"/>
      <c r="K15">
        <v>4</v>
      </c>
      <c r="L15" t="s">
        <v>1335</v>
      </c>
    </row>
    <row r="16" spans="2:15">
      <c r="B16" s="77"/>
      <c r="K16">
        <v>5</v>
      </c>
      <c r="L16" t="s">
        <v>1337</v>
      </c>
    </row>
    <row r="17" spans="2:12">
      <c r="B17" s="77"/>
      <c r="K17">
        <v>6</v>
      </c>
      <c r="L17" t="s">
        <v>1427</v>
      </c>
    </row>
    <row r="18" spans="2:12">
      <c r="B18" s="77"/>
      <c r="K18">
        <v>7</v>
      </c>
      <c r="L18" t="s">
        <v>1428</v>
      </c>
    </row>
    <row r="19" spans="2:12">
      <c r="B19" s="77"/>
      <c r="K19">
        <v>8</v>
      </c>
      <c r="L19" t="s">
        <v>1429</v>
      </c>
    </row>
    <row r="20" spans="2:12">
      <c r="B20" s="77"/>
      <c r="K20">
        <v>9</v>
      </c>
      <c r="L20" t="s">
        <v>1430</v>
      </c>
    </row>
    <row r="21" spans="2:12">
      <c r="B21" s="77"/>
      <c r="K21">
        <v>10</v>
      </c>
      <c r="L21" t="s">
        <v>1432</v>
      </c>
    </row>
    <row r="22" spans="2:12">
      <c r="B22" s="77"/>
      <c r="K22">
        <v>11</v>
      </c>
      <c r="L22" t="s">
        <v>1433</v>
      </c>
    </row>
    <row r="23" spans="2:12">
      <c r="B23" s="77"/>
      <c r="K23">
        <v>12</v>
      </c>
      <c r="L23" t="s">
        <v>1434</v>
      </c>
    </row>
    <row r="24" spans="2:12">
      <c r="B24" s="77"/>
      <c r="K24">
        <v>13</v>
      </c>
      <c r="L24" t="s">
        <v>1435</v>
      </c>
    </row>
    <row r="25" spans="2:12">
      <c r="B25" s="77"/>
      <c r="K25">
        <v>14</v>
      </c>
      <c r="L25" t="s">
        <v>1436</v>
      </c>
    </row>
    <row r="26" spans="2:12">
      <c r="B26" s="77"/>
      <c r="K26">
        <v>15</v>
      </c>
      <c r="L26" t="s">
        <v>1437</v>
      </c>
    </row>
    <row r="27" spans="2:12">
      <c r="B27" s="77"/>
      <c r="K27">
        <v>16</v>
      </c>
      <c r="L27" t="s">
        <v>1438</v>
      </c>
    </row>
    <row r="28" spans="2:12">
      <c r="B28" s="77"/>
      <c r="K28">
        <v>17</v>
      </c>
      <c r="L28" t="s">
        <v>1439</v>
      </c>
    </row>
    <row r="29" spans="2:12">
      <c r="B29" s="77"/>
      <c r="K29">
        <v>18</v>
      </c>
      <c r="L29" t="s">
        <v>1440</v>
      </c>
    </row>
    <row r="30" spans="2:12">
      <c r="B30" s="77"/>
      <c r="K30">
        <v>19</v>
      </c>
      <c r="L30" t="s">
        <v>1441</v>
      </c>
    </row>
    <row r="31" spans="2:12">
      <c r="B31" s="77"/>
      <c r="K31">
        <v>20</v>
      </c>
      <c r="L31" t="s">
        <v>1442</v>
      </c>
    </row>
    <row r="32" spans="2:12">
      <c r="B32" s="77"/>
      <c r="K32">
        <v>21</v>
      </c>
      <c r="L32" t="s">
        <v>1443</v>
      </c>
    </row>
    <row r="33" spans="2:16">
      <c r="B33" s="1">
        <f>+SUM(B10:B11)</f>
        <v>2772691</v>
      </c>
      <c r="L33" s="250" t="s">
        <v>1325</v>
      </c>
    </row>
    <row r="34" spans="2:16">
      <c r="B34" s="1"/>
      <c r="K34" s="89" t="s">
        <v>1331</v>
      </c>
      <c r="L34" s="293" t="s">
        <v>9</v>
      </c>
      <c r="M34" s="275" t="s">
        <v>1327</v>
      </c>
      <c r="N34" s="275" t="s">
        <v>1328</v>
      </c>
      <c r="O34" s="275" t="s">
        <v>1329</v>
      </c>
      <c r="P34" s="275" t="s">
        <v>1330</v>
      </c>
    </row>
    <row r="35" spans="2:16">
      <c r="B35" s="77">
        <f>+E6</f>
        <v>2002950</v>
      </c>
      <c r="K35" s="294">
        <v>43893</v>
      </c>
      <c r="L35" s="84" t="s">
        <v>1326</v>
      </c>
      <c r="M35" s="275">
        <v>17735</v>
      </c>
      <c r="N35" s="275">
        <v>1774</v>
      </c>
      <c r="O35" s="275">
        <v>0</v>
      </c>
      <c r="P35" s="295">
        <f>+N35-O35</f>
        <v>1774</v>
      </c>
    </row>
    <row r="36" spans="2:16">
      <c r="B36" s="77">
        <f>+B33+B35</f>
        <v>4775641</v>
      </c>
      <c r="K36" s="294">
        <v>43820</v>
      </c>
      <c r="L36" s="84" t="s">
        <v>1336</v>
      </c>
      <c r="M36" s="275">
        <v>35640</v>
      </c>
      <c r="N36" s="275">
        <f>+M36*0.01</f>
        <v>356.40000000000003</v>
      </c>
      <c r="O36" s="275">
        <v>0</v>
      </c>
      <c r="P36" s="295">
        <f>+N36-O36</f>
        <v>356.40000000000003</v>
      </c>
    </row>
    <row r="37" spans="2:16">
      <c r="B37">
        <v>13978.36</v>
      </c>
      <c r="K37" s="294">
        <v>43799</v>
      </c>
      <c r="L37" s="84" t="s">
        <v>1431</v>
      </c>
      <c r="M37" s="275">
        <v>38769</v>
      </c>
      <c r="N37" s="275">
        <v>776</v>
      </c>
      <c r="O37" s="275">
        <v>0</v>
      </c>
      <c r="P37" s="295">
        <f>+N37-O37</f>
        <v>776</v>
      </c>
    </row>
    <row r="38" spans="2:16">
      <c r="B38">
        <v>10451</v>
      </c>
    </row>
    <row r="39" spans="2:16">
      <c r="B39" s="77">
        <f>+B36+B37+B38</f>
        <v>4800070.3600000003</v>
      </c>
    </row>
    <row r="40" spans="2:16">
      <c r="B40" s="77">
        <f>+B39-BSPL!F243</f>
        <v>24429.360000000335</v>
      </c>
    </row>
  </sheetData>
  <customSheetViews>
    <customSheetView guid="{F039C147-8083-49A0-B541-A610A15BA793}">
      <selection activeCell="K12" sqref="K12"/>
      <pageMargins left="0.7" right="0.7" top="0.75" bottom="0.75" header="0.3" footer="0.3"/>
    </customSheetView>
    <customSheetView guid="{F140806D-66CA-4A66-855A-CCBDE7D69760}">
      <selection activeCell="K12" sqref="K12"/>
      <pageMargins left="0.7" right="0.7" top="0.75" bottom="0.75" header="0.3" footer="0.3"/>
    </customSheetView>
  </customSheetViews>
  <pageMargins left="0.70866141732283472" right="0.70866141732283472" top="0.74803149606299213" bottom="0.74803149606299213" header="0.31496062992125984" footer="0.31496062992125984"/>
  <pageSetup scale="3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8</vt:i4>
      </vt:variant>
    </vt:vector>
  </HeadingPairs>
  <TitlesOfParts>
    <vt:vector size="25" baseType="lpstr">
      <vt:lpstr>Result 1</vt:lpstr>
      <vt:lpstr>Result 2</vt:lpstr>
      <vt:lpstr>Result 3</vt:lpstr>
      <vt:lpstr>Cash Flow Statement</vt:lpstr>
      <vt:lpstr>BSPL</vt:lpstr>
      <vt:lpstr>Depreciation Co. Act</vt:lpstr>
      <vt:lpstr>Pivot</vt:lpstr>
      <vt:lpstr>Closing Stock Valuation</vt:lpstr>
      <vt:lpstr>CLOSING STOCK 31-03-20</vt:lpstr>
      <vt:lpstr>Computation</vt:lpstr>
      <vt:lpstr>Deffered Tax</vt:lpstr>
      <vt:lpstr>Depreciation as per Income Tax</vt:lpstr>
      <vt:lpstr>Term Loan</vt:lpstr>
      <vt:lpstr>TB MAIN</vt:lpstr>
      <vt:lpstr>TB31032020</vt:lpstr>
      <vt:lpstr>TB310320119</vt:lpstr>
      <vt:lpstr>Sheet1</vt:lpstr>
      <vt:lpstr>BSPL!Print_Area</vt:lpstr>
      <vt:lpstr>'Cash Flow Statement'!Print_Area</vt:lpstr>
      <vt:lpstr>'CLOSING STOCK 31-03-20'!Print_Area</vt:lpstr>
      <vt:lpstr>'Closing Stock Valuation'!Print_Area</vt:lpstr>
      <vt:lpstr>'Depreciation Co. Act'!Print_Area</vt:lpstr>
      <vt:lpstr>'Result 1'!Print_Area</vt:lpstr>
      <vt:lpstr>'Result 2'!Print_Area</vt:lpstr>
      <vt:lpstr>'Result 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Amit</dc:creator>
  <cp:lastModifiedBy>Amit</cp:lastModifiedBy>
  <cp:lastPrinted>2020-07-30T04:26:59Z</cp:lastPrinted>
  <dcterms:created xsi:type="dcterms:W3CDTF">2015-06-05T18:17:20Z</dcterms:created>
  <dcterms:modified xsi:type="dcterms:W3CDTF">2020-08-21T09:04:16Z</dcterms:modified>
</cp:coreProperties>
</file>