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mc:AlternateContent xmlns:mc="http://schemas.openxmlformats.org/markup-compatibility/2006">
    <mc:Choice Requires="x15">
      <x15ac:absPath xmlns:x15ac="http://schemas.microsoft.com/office/spreadsheetml/2010/11/ac" url="F:\Anwar\TEV\"/>
    </mc:Choice>
  </mc:AlternateContent>
  <xr:revisionPtr revIDLastSave="0" documentId="13_ncr:1_{E4DD9C43-BE91-49AB-8F8C-276D92E6BA0F}" xr6:coauthVersionLast="47" xr6:coauthVersionMax="47" xr10:uidLastSave="{00000000-0000-0000-0000-000000000000}"/>
  <bookViews>
    <workbookView xWindow="-120" yWindow="-120" windowWidth="24240" windowHeight="13140" tabRatio="825" xr2:uid="{00000000-000D-0000-FFFF-FFFF00000000}"/>
  </bookViews>
  <sheets>
    <sheet name="Final List" sheetId="4" r:id="rId1"/>
  </sheets>
  <definedNames>
    <definedName name="_xlnm._FilterDatabase" localSheetId="0" hidden="1">'Final List'!$1:$1375</definedName>
    <definedName name="_xlnm.Print_Area" localSheetId="0">'Final List'!$A$1:$I$8</definedName>
    <definedName name="_xlnm.Print_Titles" localSheetId="0">'Final List'!$1:$1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89" i="4" l="1"/>
  <c r="I989" i="4"/>
  <c r="H990" i="4"/>
  <c r="J988" i="4"/>
  <c r="I988" i="4"/>
  <c r="J987" i="4"/>
  <c r="I987" i="4"/>
  <c r="I1359" i="4"/>
  <c r="I1358" i="4"/>
  <c r="H1360" i="4"/>
  <c r="J986" i="4" l="1"/>
  <c r="I986" i="4"/>
  <c r="J984" i="4"/>
  <c r="I984" i="4"/>
  <c r="J985" i="4"/>
  <c r="I985" i="4"/>
  <c r="H474" i="4"/>
  <c r="I474" i="4" s="1"/>
  <c r="H473" i="4" l="1"/>
  <c r="I473" i="4" s="1"/>
  <c r="H137" i="4"/>
  <c r="I137" i="4" s="1"/>
  <c r="H472" i="4"/>
  <c r="I472" i="4" s="1"/>
  <c r="J983" i="4"/>
  <c r="I983" i="4"/>
  <c r="J982" i="4"/>
  <c r="I982" i="4"/>
  <c r="J981" i="4"/>
  <c r="I981" i="4"/>
  <c r="J980" i="4"/>
  <c r="I980" i="4"/>
  <c r="J979" i="4"/>
  <c r="I979" i="4"/>
  <c r="J978" i="4"/>
  <c r="I978" i="4"/>
  <c r="I1357" i="4"/>
  <c r="I1356" i="4"/>
  <c r="J751" i="4"/>
  <c r="I751" i="4"/>
  <c r="J191" i="4"/>
  <c r="I191" i="4"/>
  <c r="G1218" i="4"/>
  <c r="H471" i="4"/>
  <c r="I471" i="4" s="1"/>
  <c r="H470" i="4"/>
  <c r="I470" i="4" s="1"/>
  <c r="H469" i="4"/>
  <c r="I469" i="4" s="1"/>
  <c r="H468" i="4"/>
  <c r="G1276" i="4"/>
  <c r="H1254" i="4"/>
  <c r="G1254" i="4"/>
  <c r="G1250" i="4"/>
  <c r="G1224" i="4"/>
  <c r="I468" i="4" l="1"/>
  <c r="H1029" i="4" l="1"/>
  <c r="H1092" i="4"/>
  <c r="H1097" i="4"/>
  <c r="G1097" i="4"/>
  <c r="H1366" i="4"/>
  <c r="G1366" i="4"/>
  <c r="H1373" i="4"/>
  <c r="G1373" i="4"/>
  <c r="H467" i="4"/>
  <c r="I467" i="4" s="1"/>
  <c r="H465" i="4"/>
  <c r="I465" i="4" s="1"/>
  <c r="H456" i="4"/>
  <c r="I456" i="4" s="1"/>
  <c r="H455" i="4"/>
  <c r="I455" i="4" s="1"/>
  <c r="H454" i="4"/>
  <c r="I454" i="4" s="1"/>
  <c r="I453" i="4"/>
  <c r="I452" i="4"/>
  <c r="H451" i="4"/>
  <c r="I451" i="4" s="1"/>
  <c r="I1372" i="4"/>
  <c r="J1028" i="4"/>
  <c r="I1028" i="4"/>
  <c r="J541" i="4"/>
  <c r="I541" i="4"/>
  <c r="J540" i="4"/>
  <c r="I540" i="4"/>
  <c r="J539" i="4"/>
  <c r="I539" i="4"/>
  <c r="J538" i="4"/>
  <c r="I538" i="4"/>
  <c r="J537" i="4"/>
  <c r="I537" i="4"/>
  <c r="J532" i="4"/>
  <c r="I532" i="4"/>
  <c r="J1354" i="4"/>
  <c r="I1355" i="4"/>
  <c r="I1354" i="4"/>
  <c r="J462" i="4"/>
  <c r="I466" i="4" l="1"/>
  <c r="H464" i="4"/>
  <c r="I464" i="4" s="1"/>
  <c r="J533" i="4"/>
  <c r="H533" i="4"/>
  <c r="I533" i="4" s="1"/>
  <c r="J463" i="4"/>
  <c r="H740" i="4" l="1"/>
  <c r="I740" i="4" s="1"/>
  <c r="J536" i="4"/>
  <c r="H536" i="4"/>
  <c r="I536" i="4" s="1"/>
  <c r="J535" i="4"/>
  <c r="H535" i="4"/>
  <c r="I535" i="4" s="1"/>
  <c r="J534" i="4"/>
  <c r="H534" i="4"/>
  <c r="I534" i="4" s="1"/>
  <c r="G543" i="4"/>
  <c r="H463" i="4"/>
  <c r="I463" i="4" s="1"/>
  <c r="I462" i="4"/>
  <c r="H461" i="4"/>
  <c r="I461" i="4" s="1"/>
  <c r="I460" i="4"/>
  <c r="I459" i="4"/>
  <c r="H816" i="4"/>
  <c r="G811" i="4"/>
  <c r="H8" i="4"/>
  <c r="J458" i="4"/>
  <c r="H458" i="4"/>
  <c r="G458" i="4"/>
  <c r="H457" i="4"/>
  <c r="G457" i="4"/>
  <c r="H531" i="4"/>
  <c r="I531" i="4" s="1"/>
  <c r="G475" i="4" l="1"/>
  <c r="I458" i="4"/>
  <c r="I457" i="4"/>
  <c r="J531" i="4" l="1"/>
  <c r="J530" i="4"/>
  <c r="I530" i="4"/>
  <c r="J529" i="4"/>
  <c r="I529" i="4"/>
  <c r="H528" i="4"/>
  <c r="I528" i="4" s="1"/>
  <c r="J527" i="4"/>
  <c r="H527" i="4"/>
  <c r="I527" i="4" s="1"/>
  <c r="I786" i="4"/>
  <c r="I977" i="4"/>
  <c r="J810" i="4"/>
  <c r="I810" i="4"/>
  <c r="J1371" i="4"/>
  <c r="I1371" i="4"/>
  <c r="J1027" i="4"/>
  <c r="I1027" i="4"/>
  <c r="J450" i="4"/>
  <c r="H450" i="4"/>
  <c r="I450" i="4" s="1"/>
  <c r="J809" i="4"/>
  <c r="H809" i="4"/>
  <c r="I809" i="4" s="1"/>
  <c r="J1353" i="4"/>
  <c r="I1353" i="4"/>
  <c r="J1352" i="4"/>
  <c r="I1352" i="4"/>
  <c r="J449" i="4" l="1"/>
  <c r="I449" i="4"/>
  <c r="J976" i="4"/>
  <c r="J975" i="4"/>
  <c r="J974" i="4"/>
  <c r="I976" i="4"/>
  <c r="I975" i="4"/>
  <c r="I974" i="4"/>
  <c r="J1370" i="4" l="1"/>
  <c r="I1370" i="4"/>
  <c r="I1369" i="4"/>
  <c r="J1091" i="4"/>
  <c r="I1091" i="4"/>
  <c r="J1026" i="4"/>
  <c r="I1026" i="4"/>
  <c r="J1025" i="4"/>
  <c r="I1025" i="4"/>
  <c r="J734" i="4"/>
  <c r="H734" i="4"/>
  <c r="I734" i="4" s="1"/>
  <c r="J785" i="4"/>
  <c r="J784" i="4"/>
  <c r="I785" i="4"/>
  <c r="I784" i="4"/>
  <c r="J783" i="4"/>
  <c r="H783" i="4"/>
  <c r="I783" i="4" s="1"/>
  <c r="J782" i="4"/>
  <c r="I782" i="4"/>
  <c r="J750" i="4"/>
  <c r="J1351" i="4"/>
  <c r="J1350" i="4"/>
  <c r="I1351" i="4"/>
  <c r="I1350" i="4"/>
  <c r="J1204" i="4"/>
  <c r="J1199" i="4"/>
  <c r="J1196" i="4"/>
  <c r="J1195" i="4"/>
  <c r="J1247" i="4"/>
  <c r="J1246" i="4"/>
  <c r="J1194" i="4"/>
  <c r="J1192" i="4"/>
  <c r="J1210" i="4"/>
  <c r="J1189" i="4"/>
  <c r="J1188" i="4"/>
  <c r="J1187" i="4"/>
  <c r="J1185" i="4"/>
  <c r="J1184" i="4"/>
  <c r="J1183" i="4"/>
  <c r="J1182" i="4"/>
  <c r="J1180" i="4"/>
  <c r="J1179" i="4"/>
  <c r="J1177" i="4"/>
  <c r="J1176" i="4"/>
  <c r="J1174" i="4"/>
  <c r="J1173" i="4"/>
  <c r="J1172" i="4"/>
  <c r="J1170" i="4"/>
  <c r="J1167" i="4"/>
  <c r="J1165" i="4"/>
  <c r="J1163" i="4"/>
  <c r="J1162" i="4"/>
  <c r="J1275" i="4"/>
  <c r="J1274" i="4"/>
  <c r="J1158" i="4"/>
  <c r="J1157" i="4"/>
  <c r="J1154" i="4"/>
  <c r="J1151" i="4"/>
  <c r="J1146" i="4"/>
  <c r="J1145" i="4"/>
  <c r="J1143" i="4"/>
  <c r="J1142" i="4"/>
  <c r="J1141" i="4"/>
  <c r="J1140" i="4"/>
  <c r="J1137" i="4"/>
  <c r="J1244" i="4"/>
  <c r="J1243" i="4"/>
  <c r="J1135" i="4"/>
  <c r="J1239" i="4"/>
  <c r="J1234" i="4"/>
  <c r="J1230" i="4"/>
  <c r="J1269" i="4"/>
  <c r="J1107" i="4"/>
  <c r="J1127" i="4"/>
  <c r="J1125" i="4"/>
  <c r="J1116" i="4"/>
  <c r="J1121" i="4"/>
  <c r="J1111" i="4"/>
  <c r="J1216" i="4"/>
  <c r="J1113" i="4"/>
  <c r="J1106" i="4"/>
  <c r="J1215" i="4"/>
  <c r="J1214" i="4"/>
  <c r="J1213" i="4"/>
  <c r="J1101" i="4"/>
  <c r="J1099" i="4"/>
  <c r="J775" i="4"/>
  <c r="J769" i="4"/>
  <c r="J764" i="4"/>
  <c r="J763" i="4"/>
  <c r="J762" i="4"/>
  <c r="J761" i="4"/>
  <c r="J756" i="4"/>
  <c r="J736" i="4"/>
  <c r="J735" i="4"/>
  <c r="J728" i="4"/>
  <c r="J726" i="4"/>
  <c r="J721" i="4"/>
  <c r="J720" i="4"/>
  <c r="J717" i="4"/>
  <c r="J707" i="4"/>
  <c r="J690" i="4"/>
  <c r="J683" i="4"/>
  <c r="J664" i="4"/>
  <c r="J646" i="4"/>
  <c r="J639" i="4"/>
  <c r="J637" i="4"/>
  <c r="J631" i="4"/>
  <c r="J624" i="4"/>
  <c r="J622" i="4"/>
  <c r="J621" i="4"/>
  <c r="J620" i="4"/>
  <c r="J619" i="4"/>
  <c r="J591" i="4"/>
  <c r="J587" i="4"/>
  <c r="J586" i="4"/>
  <c r="J578" i="4"/>
  <c r="J572" i="4"/>
  <c r="J567" i="4"/>
  <c r="J566" i="4"/>
  <c r="J565" i="4"/>
  <c r="J560" i="4"/>
  <c r="J559" i="4"/>
  <c r="J557" i="4"/>
  <c r="J549" i="4"/>
  <c r="J545" i="4"/>
  <c r="J518" i="4"/>
  <c r="J517" i="4"/>
  <c r="J513" i="4"/>
  <c r="J509" i="4"/>
  <c r="J489" i="4"/>
  <c r="J488" i="4"/>
  <c r="J485" i="4"/>
  <c r="J482" i="4"/>
  <c r="J481" i="4"/>
  <c r="J448" i="4"/>
  <c r="J441" i="4"/>
  <c r="J440" i="4"/>
  <c r="J436" i="4"/>
  <c r="J434" i="4"/>
  <c r="J433" i="4"/>
  <c r="J425" i="4"/>
  <c r="J416" i="4"/>
  <c r="J413" i="4"/>
  <c r="J410" i="4"/>
  <c r="J405" i="4"/>
  <c r="J401" i="4"/>
  <c r="J400" i="4"/>
  <c r="J399" i="4"/>
  <c r="J398" i="4"/>
  <c r="J396" i="4"/>
  <c r="J395" i="4"/>
  <c r="J393" i="4"/>
  <c r="J383" i="4"/>
  <c r="J371" i="4"/>
  <c r="J361" i="4"/>
  <c r="J359" i="4"/>
  <c r="J356" i="4"/>
  <c r="J350" i="4"/>
  <c r="J344" i="4"/>
  <c r="J343" i="4"/>
  <c r="J342" i="4"/>
  <c r="J341" i="4"/>
  <c r="J338" i="4"/>
  <c r="J327" i="4"/>
  <c r="J318" i="4"/>
  <c r="J316" i="4"/>
  <c r="J315" i="4"/>
  <c r="J314" i="4"/>
  <c r="J311" i="4"/>
  <c r="J308" i="4"/>
  <c r="J307" i="4"/>
  <c r="J306" i="4"/>
  <c r="J305" i="4"/>
  <c r="J303" i="4"/>
  <c r="J301" i="4"/>
  <c r="J300" i="4"/>
  <c r="J297" i="4"/>
  <c r="J295" i="4"/>
  <c r="J291" i="4"/>
  <c r="J289" i="4"/>
  <c r="J276" i="4"/>
  <c r="J275" i="4"/>
  <c r="J274" i="4"/>
  <c r="J272" i="4"/>
  <c r="J271" i="4"/>
  <c r="J269" i="4"/>
  <c r="J262" i="4"/>
  <c r="J251" i="4"/>
  <c r="J247" i="4"/>
  <c r="J241" i="4"/>
  <c r="J240" i="4"/>
  <c r="J236" i="4"/>
  <c r="J232" i="4"/>
  <c r="J226" i="4"/>
  <c r="J225" i="4"/>
  <c r="J224" i="4"/>
  <c r="J222" i="4"/>
  <c r="J221" i="4"/>
  <c r="J217" i="4"/>
  <c r="J216" i="4"/>
  <c r="J206" i="4"/>
  <c r="J205" i="4"/>
  <c r="J204" i="4"/>
  <c r="J202" i="4"/>
  <c r="J201" i="4"/>
  <c r="J200" i="4"/>
  <c r="J198" i="4"/>
  <c r="J181" i="4"/>
  <c r="J169" i="4"/>
  <c r="J166" i="4"/>
  <c r="J164" i="4"/>
  <c r="J161" i="4"/>
  <c r="J159" i="4"/>
  <c r="J153" i="4"/>
  <c r="J152" i="4"/>
  <c r="J151" i="4"/>
  <c r="J148" i="4"/>
  <c r="J147" i="4"/>
  <c r="J146" i="4"/>
  <c r="J145" i="4"/>
  <c r="J143" i="4"/>
  <c r="J134" i="4"/>
  <c r="J132" i="4"/>
  <c r="J130" i="4"/>
  <c r="J127" i="4"/>
  <c r="J123" i="4"/>
  <c r="J122" i="4"/>
  <c r="J121" i="4"/>
  <c r="J120" i="4"/>
  <c r="J119" i="4"/>
  <c r="J118" i="4"/>
  <c r="J113" i="4"/>
  <c r="J111" i="4"/>
  <c r="J108" i="4"/>
  <c r="J105" i="4"/>
  <c r="J100" i="4"/>
  <c r="J97" i="4"/>
  <c r="J94" i="4"/>
  <c r="J92" i="4"/>
  <c r="J84" i="4"/>
  <c r="J83" i="4"/>
  <c r="J81" i="4"/>
  <c r="J80" i="4"/>
  <c r="J79" i="4"/>
  <c r="J78" i="4"/>
  <c r="J76" i="4"/>
  <c r="J70" i="4"/>
  <c r="J69" i="4"/>
  <c r="J54" i="4"/>
  <c r="J52" i="4"/>
  <c r="J51" i="4"/>
  <c r="J50" i="4"/>
  <c r="J49" i="4"/>
  <c r="J48" i="4"/>
  <c r="J46" i="4"/>
  <c r="J43" i="4"/>
  <c r="J41" i="4"/>
  <c r="J37" i="4"/>
  <c r="J23" i="4"/>
  <c r="J22" i="4"/>
  <c r="J1238" i="4"/>
  <c r="J1236" i="4"/>
  <c r="J1132" i="4"/>
  <c r="J716" i="4"/>
  <c r="J713" i="4"/>
  <c r="J708" i="4"/>
  <c r="J680" i="4"/>
  <c r="J679" i="4"/>
  <c r="J649" i="4"/>
  <c r="J648" i="4"/>
  <c r="J647" i="4"/>
  <c r="J632" i="4"/>
  <c r="J628" i="4"/>
  <c r="J627" i="4"/>
  <c r="J626" i="4"/>
  <c r="J575" i="4"/>
  <c r="J554" i="4"/>
  <c r="I750" i="4" l="1"/>
  <c r="J526" i="4" l="1"/>
  <c r="H526" i="4"/>
  <c r="I526" i="4" s="1"/>
  <c r="J739" i="4"/>
  <c r="H739" i="4"/>
  <c r="I739" i="4" s="1"/>
  <c r="J738" i="4"/>
  <c r="H738" i="4"/>
  <c r="I738" i="4" s="1"/>
  <c r="J836" i="4"/>
  <c r="I836" i="4"/>
  <c r="J973" i="4"/>
  <c r="I973" i="4"/>
  <c r="J705" i="4" l="1"/>
  <c r="J446" i="4" l="1"/>
  <c r="J447" i="4"/>
  <c r="H448" i="4"/>
  <c r="I448" i="4" s="1"/>
  <c r="H447" i="4"/>
  <c r="I447" i="4" s="1"/>
  <c r="H446" i="4"/>
  <c r="I446" i="4" s="1"/>
  <c r="I967" i="4" l="1"/>
  <c r="I964" i="4"/>
  <c r="I963" i="4"/>
  <c r="J737" i="4" l="1"/>
  <c r="H737" i="4"/>
  <c r="I737" i="4" s="1"/>
  <c r="H736" i="4"/>
  <c r="I736" i="4" s="1"/>
  <c r="H735" i="4"/>
  <c r="I735" i="4" s="1"/>
  <c r="J733" i="4"/>
  <c r="H733" i="4"/>
  <c r="I733" i="4" s="1"/>
  <c r="J972" i="4"/>
  <c r="I972" i="4"/>
  <c r="J971" i="4"/>
  <c r="I971" i="4"/>
  <c r="J970" i="4"/>
  <c r="I970" i="4"/>
  <c r="J969" i="4"/>
  <c r="I969" i="4"/>
  <c r="J968" i="4"/>
  <c r="I968" i="4"/>
  <c r="J966" i="4"/>
  <c r="I966" i="4"/>
  <c r="J965" i="4"/>
  <c r="I965" i="4"/>
  <c r="J962" i="4"/>
  <c r="I962" i="4"/>
  <c r="J1374" i="4"/>
  <c r="J1369" i="4"/>
  <c r="J1368" i="4"/>
  <c r="J1367" i="4"/>
  <c r="J1365" i="4"/>
  <c r="J1364" i="4"/>
  <c r="J1363" i="4"/>
  <c r="J1362" i="4"/>
  <c r="J1361" i="4"/>
  <c r="J1349" i="4"/>
  <c r="J1348" i="4"/>
  <c r="J1347" i="4"/>
  <c r="J1346" i="4"/>
  <c r="J1345" i="4"/>
  <c r="J1344" i="4"/>
  <c r="J1343" i="4"/>
  <c r="J1342" i="4"/>
  <c r="J1341" i="4"/>
  <c r="J1340" i="4"/>
  <c r="J1339" i="4"/>
  <c r="J1338" i="4"/>
  <c r="J1337" i="4"/>
  <c r="J1336" i="4"/>
  <c r="J1335" i="4"/>
  <c r="J1334" i="4"/>
  <c r="J1333" i="4"/>
  <c r="J1332" i="4"/>
  <c r="J1331" i="4"/>
  <c r="J1330" i="4"/>
  <c r="J1329" i="4"/>
  <c r="J1328" i="4"/>
  <c r="J1327" i="4"/>
  <c r="J1326" i="4"/>
  <c r="J1325" i="4"/>
  <c r="J1324" i="4"/>
  <c r="J1323" i="4"/>
  <c r="J1322" i="4"/>
  <c r="J1321" i="4"/>
  <c r="J1320" i="4"/>
  <c r="J1319" i="4"/>
  <c r="J1318" i="4"/>
  <c r="J1317" i="4"/>
  <c r="J1316" i="4"/>
  <c r="J1315" i="4"/>
  <c r="J1314" i="4"/>
  <c r="J1313" i="4"/>
  <c r="J1312" i="4"/>
  <c r="J1311" i="4"/>
  <c r="J1310" i="4"/>
  <c r="J1309" i="4"/>
  <c r="J1308" i="4"/>
  <c r="J1307" i="4"/>
  <c r="J1306" i="4"/>
  <c r="J1305" i="4"/>
  <c r="J1304" i="4"/>
  <c r="J1303" i="4"/>
  <c r="J1302" i="4"/>
  <c r="J1301" i="4"/>
  <c r="J1300" i="4"/>
  <c r="J1299" i="4"/>
  <c r="J1298" i="4"/>
  <c r="J1297" i="4"/>
  <c r="J1296" i="4"/>
  <c r="J1295" i="4"/>
  <c r="J1294" i="4"/>
  <c r="J1293" i="4"/>
  <c r="J1292" i="4"/>
  <c r="J1291" i="4"/>
  <c r="J1290" i="4"/>
  <c r="J1289" i="4"/>
  <c r="J1288" i="4"/>
  <c r="J1287" i="4"/>
  <c r="J1286" i="4"/>
  <c r="J1285" i="4"/>
  <c r="J1284" i="4"/>
  <c r="J1283" i="4"/>
  <c r="J1282" i="4"/>
  <c r="J1281" i="4"/>
  <c r="J1280" i="4"/>
  <c r="J1249" i="4"/>
  <c r="J1248" i="4"/>
  <c r="J1209" i="4"/>
  <c r="J1208" i="4"/>
  <c r="J1207" i="4"/>
  <c r="J1206" i="4"/>
  <c r="J1205" i="4"/>
  <c r="J1202" i="4"/>
  <c r="J1201" i="4"/>
  <c r="J1200" i="4"/>
  <c r="J1198" i="4"/>
  <c r="J1197" i="4"/>
  <c r="J1193" i="4"/>
  <c r="J1191" i="4"/>
  <c r="J1190" i="4"/>
  <c r="J1186" i="4"/>
  <c r="J1181" i="4"/>
  <c r="J1178" i="4"/>
  <c r="J1175" i="4"/>
  <c r="J1171" i="4"/>
  <c r="J1169" i="4"/>
  <c r="J1168" i="4"/>
  <c r="J1166" i="4"/>
  <c r="J1164" i="4"/>
  <c r="J1273" i="4"/>
  <c r="J1272" i="4"/>
  <c r="J1161" i="4"/>
  <c r="J1160" i="4"/>
  <c r="J1159" i="4"/>
  <c r="J1156" i="4"/>
  <c r="J1155" i="4"/>
  <c r="J1153" i="4"/>
  <c r="J1152" i="4"/>
  <c r="J1150" i="4"/>
  <c r="J1149" i="4"/>
  <c r="J1148" i="4"/>
  <c r="J1147" i="4"/>
  <c r="J1144" i="4"/>
  <c r="J1245" i="4"/>
  <c r="J1139" i="4"/>
  <c r="J1138" i="4"/>
  <c r="J1136" i="4"/>
  <c r="J1242" i="4"/>
  <c r="J1241" i="4"/>
  <c r="J1240" i="4"/>
  <c r="J1237" i="4"/>
  <c r="J1235" i="4"/>
  <c r="J1233" i="4"/>
  <c r="J1232" i="4"/>
  <c r="J1231" i="4"/>
  <c r="J1134" i="4"/>
  <c r="J1229" i="4"/>
  <c r="J1228" i="4"/>
  <c r="J1227" i="4"/>
  <c r="J1271" i="4"/>
  <c r="J1270" i="4"/>
  <c r="J1268" i="4"/>
  <c r="J1108" i="4"/>
  <c r="J1131" i="4"/>
  <c r="J1130" i="4"/>
  <c r="J1129" i="4"/>
  <c r="J1264" i="4"/>
  <c r="J1128" i="4"/>
  <c r="J1126" i="4"/>
  <c r="J1124" i="4"/>
  <c r="J1123" i="4"/>
  <c r="J1120" i="4"/>
  <c r="J1223" i="4"/>
  <c r="J1117" i="4"/>
  <c r="J1222" i="4"/>
  <c r="J1256" i="4"/>
  <c r="J1260" i="4"/>
  <c r="J1259" i="4"/>
  <c r="J1253" i="4"/>
  <c r="J1252" i="4"/>
  <c r="J1122" i="4"/>
  <c r="J1119" i="4"/>
  <c r="J1118" i="4"/>
  <c r="J1115" i="4"/>
  <c r="J1226" i="4"/>
  <c r="J1221" i="4"/>
  <c r="J1220" i="4"/>
  <c r="J1112" i="4"/>
  <c r="J1217" i="4"/>
  <c r="J1109" i="4"/>
  <c r="J1105" i="4"/>
  <c r="J1104" i="4"/>
  <c r="J1103" i="4"/>
  <c r="J1102" i="4"/>
  <c r="J1100" i="4"/>
  <c r="J1098" i="4"/>
  <c r="J1096" i="4"/>
  <c r="J1095" i="4"/>
  <c r="J1094" i="4"/>
  <c r="J1093" i="4"/>
  <c r="J1090" i="4"/>
  <c r="J1089" i="4"/>
  <c r="J1088" i="4"/>
  <c r="J1087" i="4"/>
  <c r="J1086" i="4"/>
  <c r="J1085" i="4"/>
  <c r="J1084" i="4"/>
  <c r="J1083" i="4"/>
  <c r="J1082" i="4"/>
  <c r="J1081" i="4"/>
  <c r="J1080" i="4"/>
  <c r="J1079" i="4"/>
  <c r="J1078" i="4"/>
  <c r="J1077" i="4"/>
  <c r="J1076" i="4"/>
  <c r="J1075" i="4"/>
  <c r="J1074" i="4"/>
  <c r="J1073" i="4"/>
  <c r="J1072" i="4"/>
  <c r="J1071" i="4"/>
  <c r="J1070" i="4"/>
  <c r="J1069" i="4"/>
  <c r="J1068" i="4"/>
  <c r="J1067" i="4"/>
  <c r="J1066" i="4"/>
  <c r="J1065" i="4"/>
  <c r="J1064" i="4"/>
  <c r="J1063" i="4"/>
  <c r="J1062" i="4"/>
  <c r="J1061" i="4"/>
  <c r="J1060" i="4"/>
  <c r="J1059" i="4"/>
  <c r="J1058" i="4"/>
  <c r="J1057" i="4"/>
  <c r="J1056" i="4"/>
  <c r="J1055" i="4"/>
  <c r="J1054" i="4"/>
  <c r="J1053" i="4"/>
  <c r="J1052" i="4"/>
  <c r="J1051" i="4"/>
  <c r="J1050" i="4"/>
  <c r="J1049" i="4"/>
  <c r="J1048" i="4"/>
  <c r="J1047" i="4"/>
  <c r="J1046" i="4"/>
  <c r="J1045" i="4"/>
  <c r="J1044" i="4"/>
  <c r="J1043" i="4"/>
  <c r="J1042" i="4"/>
  <c r="J1041" i="4"/>
  <c r="J1040" i="4"/>
  <c r="J1039" i="4"/>
  <c r="J1038" i="4"/>
  <c r="J1037" i="4"/>
  <c r="J1036" i="4"/>
  <c r="J1035" i="4"/>
  <c r="J1034" i="4"/>
  <c r="J1033" i="4"/>
  <c r="J1032" i="4"/>
  <c r="J1031" i="4"/>
  <c r="J1030" i="4"/>
  <c r="J1024" i="4"/>
  <c r="J1023" i="4"/>
  <c r="J1022" i="4"/>
  <c r="J1021" i="4"/>
  <c r="J1020" i="4"/>
  <c r="J1019" i="4"/>
  <c r="J1018" i="4"/>
  <c r="J1017" i="4"/>
  <c r="J1016" i="4"/>
  <c r="J1015" i="4"/>
  <c r="J1014" i="4"/>
  <c r="J1013" i="4"/>
  <c r="J1012" i="4"/>
  <c r="J1011" i="4"/>
  <c r="J1010" i="4"/>
  <c r="J1009" i="4"/>
  <c r="J1008" i="4"/>
  <c r="J1007" i="4"/>
  <c r="J1006" i="4"/>
  <c r="J1005" i="4"/>
  <c r="J1004" i="4"/>
  <c r="J1003" i="4"/>
  <c r="J1002" i="4"/>
  <c r="J1001" i="4"/>
  <c r="J1000" i="4"/>
  <c r="J999" i="4"/>
  <c r="J998" i="4"/>
  <c r="J997" i="4"/>
  <c r="J996" i="4"/>
  <c r="J995" i="4"/>
  <c r="J994" i="4"/>
  <c r="J993" i="4"/>
  <c r="J992" i="4"/>
  <c r="J991" i="4"/>
  <c r="J977" i="4"/>
  <c r="J961" i="4"/>
  <c r="J960" i="4"/>
  <c r="J959" i="4"/>
  <c r="J958" i="4"/>
  <c r="J957" i="4"/>
  <c r="J956" i="4"/>
  <c r="J955" i="4"/>
  <c r="J954" i="4"/>
  <c r="J953" i="4"/>
  <c r="J952" i="4"/>
  <c r="J948" i="4"/>
  <c r="J947" i="4"/>
  <c r="J946" i="4"/>
  <c r="J945" i="4"/>
  <c r="J944" i="4"/>
  <c r="J943" i="4"/>
  <c r="J942" i="4"/>
  <c r="J941" i="4"/>
  <c r="J940" i="4"/>
  <c r="J939" i="4"/>
  <c r="J938" i="4"/>
  <c r="J937" i="4"/>
  <c r="J936" i="4"/>
  <c r="J935" i="4"/>
  <c r="J934" i="4"/>
  <c r="J933" i="4"/>
  <c r="J932" i="4"/>
  <c r="J931" i="4"/>
  <c r="J930" i="4"/>
  <c r="J929" i="4"/>
  <c r="J928" i="4"/>
  <c r="J927" i="4"/>
  <c r="J926" i="4"/>
  <c r="J925" i="4"/>
  <c r="J924" i="4"/>
  <c r="J923" i="4"/>
  <c r="J922" i="4"/>
  <c r="J921" i="4"/>
  <c r="J920" i="4"/>
  <c r="J919" i="4"/>
  <c r="J918" i="4"/>
  <c r="J917" i="4"/>
  <c r="J916" i="4"/>
  <c r="J915" i="4"/>
  <c r="J914" i="4"/>
  <c r="J913" i="4"/>
  <c r="J912" i="4"/>
  <c r="J911" i="4"/>
  <c r="J910" i="4"/>
  <c r="J909" i="4"/>
  <c r="J908" i="4"/>
  <c r="J907" i="4"/>
  <c r="J906" i="4"/>
  <c r="J905" i="4"/>
  <c r="J904" i="4"/>
  <c r="J903" i="4"/>
  <c r="J902" i="4"/>
  <c r="J901" i="4"/>
  <c r="J900" i="4"/>
  <c r="J899" i="4"/>
  <c r="J898" i="4"/>
  <c r="J897" i="4"/>
  <c r="J896" i="4"/>
  <c r="J895" i="4"/>
  <c r="J894" i="4"/>
  <c r="J893" i="4"/>
  <c r="J892" i="4"/>
  <c r="J891" i="4"/>
  <c r="J890" i="4"/>
  <c r="J889" i="4"/>
  <c r="J888" i="4"/>
  <c r="J887" i="4"/>
  <c r="J886" i="4"/>
  <c r="J884" i="4"/>
  <c r="J883" i="4"/>
  <c r="J882" i="4"/>
  <c r="J881" i="4"/>
  <c r="J879" i="4"/>
  <c r="J878" i="4"/>
  <c r="J877" i="4"/>
  <c r="J876" i="4"/>
  <c r="J875" i="4"/>
  <c r="J874" i="4"/>
  <c r="J873" i="4"/>
  <c r="J872" i="4"/>
  <c r="J871" i="4"/>
  <c r="J870" i="4"/>
  <c r="J869" i="4"/>
  <c r="J868" i="4"/>
  <c r="J867" i="4"/>
  <c r="J866" i="4"/>
  <c r="J865" i="4"/>
  <c r="J864" i="4"/>
  <c r="J863" i="4"/>
  <c r="J862" i="4"/>
  <c r="J861" i="4"/>
  <c r="J860" i="4"/>
  <c r="J859" i="4"/>
  <c r="J858" i="4"/>
  <c r="J857" i="4"/>
  <c r="J856" i="4"/>
  <c r="J855" i="4"/>
  <c r="J854" i="4"/>
  <c r="J853" i="4"/>
  <c r="J852" i="4"/>
  <c r="J851" i="4"/>
  <c r="J850" i="4"/>
  <c r="J849" i="4"/>
  <c r="J848" i="4"/>
  <c r="J847" i="4"/>
  <c r="J846" i="4"/>
  <c r="J845" i="4"/>
  <c r="J844" i="4"/>
  <c r="J843" i="4"/>
  <c r="J842" i="4"/>
  <c r="J841" i="4"/>
  <c r="J840" i="4"/>
  <c r="J839" i="4"/>
  <c r="J838" i="4"/>
  <c r="J835" i="4"/>
  <c r="J834" i="4"/>
  <c r="J833" i="4"/>
  <c r="J832" i="4"/>
  <c r="J831" i="4"/>
  <c r="J830" i="4"/>
  <c r="J829" i="4"/>
  <c r="J828" i="4"/>
  <c r="J827" i="4"/>
  <c r="J826" i="4"/>
  <c r="J825" i="4"/>
  <c r="J824" i="4"/>
  <c r="J823" i="4"/>
  <c r="J822" i="4"/>
  <c r="J821" i="4"/>
  <c r="J820" i="4"/>
  <c r="J818" i="4"/>
  <c r="J817" i="4"/>
  <c r="J815" i="4"/>
  <c r="J814" i="4"/>
  <c r="J813" i="4"/>
  <c r="J812" i="4"/>
  <c r="J808" i="4"/>
  <c r="J807" i="4"/>
  <c r="J806" i="4"/>
  <c r="J805" i="4"/>
  <c r="J804" i="4"/>
  <c r="J803" i="4"/>
  <c r="J802" i="4"/>
  <c r="J801" i="4"/>
  <c r="J800" i="4"/>
  <c r="J799" i="4"/>
  <c r="J798" i="4"/>
  <c r="J796" i="4"/>
  <c r="J795" i="4"/>
  <c r="J794" i="4"/>
  <c r="J793" i="4"/>
  <c r="J791" i="4"/>
  <c r="J790" i="4"/>
  <c r="J789" i="4"/>
  <c r="J788" i="4"/>
  <c r="J786" i="4"/>
  <c r="J781" i="4"/>
  <c r="J780" i="4"/>
  <c r="J778" i="4"/>
  <c r="J777" i="4"/>
  <c r="J776" i="4"/>
  <c r="J774" i="4"/>
  <c r="J773" i="4"/>
  <c r="J772" i="4"/>
  <c r="J771" i="4"/>
  <c r="J770" i="4"/>
  <c r="J768" i="4"/>
  <c r="J766" i="4"/>
  <c r="J765" i="4"/>
  <c r="J760" i="4"/>
  <c r="J758" i="4"/>
  <c r="J755" i="4"/>
  <c r="J754" i="4"/>
  <c r="J752" i="4"/>
  <c r="J749" i="4"/>
  <c r="J747" i="4"/>
  <c r="J746" i="4"/>
  <c r="J745" i="4"/>
  <c r="J744" i="4"/>
  <c r="J742" i="4"/>
  <c r="J732" i="4"/>
  <c r="J731" i="4"/>
  <c r="J730" i="4"/>
  <c r="J729" i="4"/>
  <c r="J727" i="4"/>
  <c r="J724" i="4"/>
  <c r="J723" i="4"/>
  <c r="J719" i="4"/>
  <c r="J718" i="4"/>
  <c r="J715" i="4"/>
  <c r="J714" i="4"/>
  <c r="J712" i="4"/>
  <c r="J711" i="4"/>
  <c r="J710" i="4"/>
  <c r="J709" i="4"/>
  <c r="J706" i="4"/>
  <c r="J704" i="4"/>
  <c r="J703" i="4"/>
  <c r="J702" i="4"/>
  <c r="J701" i="4"/>
  <c r="J700" i="4"/>
  <c r="J699" i="4"/>
  <c r="J698" i="4"/>
  <c r="J697" i="4"/>
  <c r="J696" i="4"/>
  <c r="J695" i="4"/>
  <c r="J694" i="4"/>
  <c r="J693" i="4"/>
  <c r="J692" i="4"/>
  <c r="J691" i="4"/>
  <c r="J689" i="4"/>
  <c r="J688" i="4"/>
  <c r="J687" i="4"/>
  <c r="J686" i="4"/>
  <c r="J685" i="4"/>
  <c r="J684" i="4"/>
  <c r="J682" i="4"/>
  <c r="J681" i="4"/>
  <c r="J678" i="4"/>
  <c r="J677" i="4"/>
  <c r="J676" i="4"/>
  <c r="J675" i="4"/>
  <c r="J674" i="4"/>
  <c r="J673" i="4"/>
  <c r="J672" i="4"/>
  <c r="J671" i="4"/>
  <c r="J670" i="4"/>
  <c r="J669" i="4"/>
  <c r="J668" i="4"/>
  <c r="J667" i="4"/>
  <c r="J666" i="4"/>
  <c r="J665" i="4"/>
  <c r="J663" i="4"/>
  <c r="J662" i="4"/>
  <c r="J661" i="4"/>
  <c r="J660" i="4"/>
  <c r="J659" i="4"/>
  <c r="J657" i="4"/>
  <c r="J656" i="4"/>
  <c r="J655" i="4"/>
  <c r="J654" i="4"/>
  <c r="J653" i="4"/>
  <c r="J652" i="4"/>
  <c r="J651" i="4"/>
  <c r="J650" i="4"/>
  <c r="J645" i="4"/>
  <c r="J644" i="4"/>
  <c r="J643" i="4"/>
  <c r="J642" i="4"/>
  <c r="J641" i="4"/>
  <c r="J640" i="4"/>
  <c r="J638" i="4"/>
  <c r="J636" i="4"/>
  <c r="J635" i="4"/>
  <c r="J634" i="4"/>
  <c r="J633" i="4"/>
  <c r="J630" i="4"/>
  <c r="J629" i="4"/>
  <c r="J625" i="4"/>
  <c r="J623" i="4"/>
  <c r="J618" i="4"/>
  <c r="J617" i="4"/>
  <c r="J616" i="4"/>
  <c r="J615" i="4"/>
  <c r="J614" i="4"/>
  <c r="J613" i="4"/>
  <c r="J612" i="4"/>
  <c r="J611" i="4"/>
  <c r="J610" i="4"/>
  <c r="J609" i="4"/>
  <c r="J608" i="4"/>
  <c r="J605" i="4"/>
  <c r="J604" i="4"/>
  <c r="J603" i="4"/>
  <c r="J602" i="4"/>
  <c r="J601" i="4"/>
  <c r="J599" i="4"/>
  <c r="J598" i="4"/>
  <c r="J597" i="4"/>
  <c r="J596" i="4"/>
  <c r="J595" i="4"/>
  <c r="J594" i="4"/>
  <c r="J593" i="4"/>
  <c r="J592" i="4"/>
  <c r="J590" i="4"/>
  <c r="J589" i="4"/>
  <c r="J585" i="4"/>
  <c r="J584" i="4"/>
  <c r="J583" i="4"/>
  <c r="J582" i="4"/>
  <c r="J581" i="4"/>
  <c r="J580" i="4"/>
  <c r="J579" i="4"/>
  <c r="J577" i="4"/>
  <c r="J576" i="4"/>
  <c r="J574" i="4"/>
  <c r="J573" i="4"/>
  <c r="J571" i="4"/>
  <c r="J570" i="4"/>
  <c r="J569" i="4"/>
  <c r="J568" i="4"/>
  <c r="J564" i="4"/>
  <c r="J563" i="4"/>
  <c r="J562" i="4"/>
  <c r="J561" i="4"/>
  <c r="J558" i="4"/>
  <c r="J556" i="4"/>
  <c r="J555" i="4"/>
  <c r="J551" i="4"/>
  <c r="J550" i="4"/>
  <c r="J548" i="4"/>
  <c r="J546" i="4"/>
  <c r="J544" i="4"/>
  <c r="J528" i="4"/>
  <c r="J525" i="4"/>
  <c r="J524" i="4"/>
  <c r="J523" i="4"/>
  <c r="J522" i="4"/>
  <c r="J521" i="4"/>
  <c r="J520" i="4"/>
  <c r="J516" i="4"/>
  <c r="J515" i="4"/>
  <c r="J514" i="4"/>
  <c r="J512" i="4"/>
  <c r="J511" i="4"/>
  <c r="J510" i="4"/>
  <c r="J508" i="4"/>
  <c r="J506" i="4"/>
  <c r="J505" i="4"/>
  <c r="J504" i="4"/>
  <c r="J503" i="4"/>
  <c r="J501" i="4"/>
  <c r="J500" i="4"/>
  <c r="J499" i="4"/>
  <c r="J497" i="4"/>
  <c r="J496" i="4"/>
  <c r="J494" i="4"/>
  <c r="J493" i="4"/>
  <c r="J492" i="4"/>
  <c r="J491" i="4"/>
  <c r="J487" i="4"/>
  <c r="J486" i="4"/>
  <c r="J484" i="4"/>
  <c r="J483" i="4"/>
  <c r="J479" i="4"/>
  <c r="J478" i="4"/>
  <c r="J477" i="4"/>
  <c r="J476" i="4"/>
  <c r="J445" i="4"/>
  <c r="J444" i="4"/>
  <c r="J443" i="4"/>
  <c r="J442" i="4"/>
  <c r="J439" i="4"/>
  <c r="J438" i="4"/>
  <c r="J437" i="4"/>
  <c r="J431" i="4"/>
  <c r="J429" i="4"/>
  <c r="J428" i="4"/>
  <c r="J427" i="4"/>
  <c r="J426" i="4"/>
  <c r="J424" i="4"/>
  <c r="J421" i="4"/>
  <c r="J420" i="4"/>
  <c r="J419" i="4"/>
  <c r="J415" i="4"/>
  <c r="J414" i="4"/>
  <c r="J412" i="4"/>
  <c r="J411" i="4"/>
  <c r="J409" i="4"/>
  <c r="J408" i="4"/>
  <c r="J407" i="4"/>
  <c r="J406" i="4"/>
  <c r="J404" i="4"/>
  <c r="J403" i="4"/>
  <c r="J402" i="4"/>
  <c r="J397" i="4"/>
  <c r="J394" i="4"/>
  <c r="J392" i="4"/>
  <c r="J391" i="4"/>
  <c r="J390" i="4"/>
  <c r="J389" i="4"/>
  <c r="J388" i="4"/>
  <c r="J387" i="4"/>
  <c r="J386" i="4"/>
  <c r="J385" i="4"/>
  <c r="J384" i="4"/>
  <c r="J382" i="4"/>
  <c r="J381" i="4"/>
  <c r="J380" i="4"/>
  <c r="J379" i="4"/>
  <c r="J378" i="4"/>
  <c r="J377" i="4"/>
  <c r="J376" i="4"/>
  <c r="J375" i="4"/>
  <c r="J374" i="4"/>
  <c r="J373" i="4"/>
  <c r="J372" i="4"/>
  <c r="J370" i="4"/>
  <c r="J369" i="4"/>
  <c r="J368" i="4"/>
  <c r="J367" i="4"/>
  <c r="J366" i="4"/>
  <c r="J365" i="4"/>
  <c r="J364" i="4"/>
  <c r="J363" i="4"/>
  <c r="J362" i="4"/>
  <c r="J360" i="4"/>
  <c r="J358" i="4"/>
  <c r="J357" i="4"/>
  <c r="J355" i="4"/>
  <c r="J354" i="4"/>
  <c r="J353" i="4"/>
  <c r="J352" i="4"/>
  <c r="J351" i="4"/>
  <c r="J349" i="4"/>
  <c r="J348" i="4"/>
  <c r="J347" i="4"/>
  <c r="J346" i="4"/>
  <c r="J345" i="4"/>
  <c r="J340" i="4"/>
  <c r="J339" i="4"/>
  <c r="J337" i="4"/>
  <c r="J336" i="4"/>
  <c r="J335" i="4"/>
  <c r="J333" i="4"/>
  <c r="J332" i="4"/>
  <c r="J331" i="4"/>
  <c r="J330" i="4"/>
  <c r="J329" i="4"/>
  <c r="J328" i="4"/>
  <c r="J326" i="4"/>
  <c r="J325" i="4"/>
  <c r="J324" i="4"/>
  <c r="J323" i="4"/>
  <c r="J322" i="4"/>
  <c r="J321" i="4"/>
  <c r="J320" i="4"/>
  <c r="J317" i="4"/>
  <c r="J310" i="4"/>
  <c r="J309" i="4"/>
  <c r="J304" i="4"/>
  <c r="J302" i="4"/>
  <c r="J299" i="4"/>
  <c r="J298" i="4"/>
  <c r="J296" i="4"/>
  <c r="J292" i="4"/>
  <c r="J290" i="4"/>
  <c r="J288" i="4"/>
  <c r="J287" i="4"/>
  <c r="J285" i="4"/>
  <c r="J284" i="4"/>
  <c r="J283" i="4"/>
  <c r="J282" i="4"/>
  <c r="J281" i="4"/>
  <c r="J280" i="4"/>
  <c r="J279" i="4"/>
  <c r="J278" i="4"/>
  <c r="J277" i="4"/>
  <c r="J273" i="4"/>
  <c r="J270" i="4"/>
  <c r="J268" i="4"/>
  <c r="J265" i="4"/>
  <c r="J264" i="4"/>
  <c r="J263" i="4"/>
  <c r="J261" i="4"/>
  <c r="J260" i="4"/>
  <c r="J259" i="4"/>
  <c r="J258" i="4"/>
  <c r="J257" i="4"/>
  <c r="J256" i="4"/>
  <c r="J255" i="4"/>
  <c r="J254" i="4"/>
  <c r="J253" i="4"/>
  <c r="J252" i="4"/>
  <c r="J250" i="4"/>
  <c r="J248" i="4"/>
  <c r="J246" i="4"/>
  <c r="J245" i="4"/>
  <c r="J244" i="4"/>
  <c r="J243" i="4"/>
  <c r="J242" i="4"/>
  <c r="J239" i="4"/>
  <c r="J238" i="4"/>
  <c r="J237" i="4"/>
  <c r="J235" i="4"/>
  <c r="J234" i="4"/>
  <c r="J233" i="4"/>
  <c r="J231" i="4"/>
  <c r="J230" i="4"/>
  <c r="J229" i="4"/>
  <c r="J223" i="4"/>
  <c r="J219" i="4"/>
  <c r="J218" i="4"/>
  <c r="J215" i="4"/>
  <c r="J214" i="4"/>
  <c r="J211" i="4"/>
  <c r="J207" i="4"/>
  <c r="J203" i="4"/>
  <c r="J197" i="4"/>
  <c r="J196" i="4"/>
  <c r="J195" i="4"/>
  <c r="J194" i="4"/>
  <c r="J193" i="4"/>
  <c r="J192" i="4"/>
  <c r="J190" i="4"/>
  <c r="J189" i="4"/>
  <c r="J187" i="4"/>
  <c r="J186" i="4"/>
  <c r="J185" i="4"/>
  <c r="J184" i="4"/>
  <c r="J183" i="4"/>
  <c r="J182" i="4"/>
  <c r="J180" i="4"/>
  <c r="J179" i="4"/>
  <c r="J178" i="4"/>
  <c r="J177" i="4"/>
  <c r="J176" i="4"/>
  <c r="J175" i="4"/>
  <c r="J174" i="4"/>
  <c r="J173" i="4"/>
  <c r="J172" i="4"/>
  <c r="J170" i="4"/>
  <c r="J168" i="4"/>
  <c r="J167" i="4"/>
  <c r="J165" i="4"/>
  <c r="J163" i="4"/>
  <c r="J162" i="4"/>
  <c r="J160" i="4"/>
  <c r="J158" i="4"/>
  <c r="J157" i="4"/>
  <c r="J156" i="4"/>
  <c r="J155" i="4"/>
  <c r="J154" i="4"/>
  <c r="J150" i="4"/>
  <c r="J149" i="4"/>
  <c r="J144" i="4"/>
  <c r="J142" i="4"/>
  <c r="J141" i="4"/>
  <c r="J139" i="4"/>
  <c r="J137" i="4"/>
  <c r="J135" i="4"/>
  <c r="J133" i="4"/>
  <c r="J131" i="4"/>
  <c r="J129" i="4"/>
  <c r="J128" i="4"/>
  <c r="J126" i="4"/>
  <c r="J125" i="4"/>
  <c r="J124" i="4"/>
  <c r="J117" i="4"/>
  <c r="J116" i="4"/>
  <c r="J115" i="4"/>
  <c r="J112" i="4"/>
  <c r="J110" i="4"/>
  <c r="J109" i="4"/>
  <c r="J107" i="4"/>
  <c r="J106" i="4"/>
  <c r="J104" i="4"/>
  <c r="J103" i="4"/>
  <c r="J102" i="4"/>
  <c r="J101" i="4"/>
  <c r="J99" i="4"/>
  <c r="J98" i="4"/>
  <c r="J96" i="4"/>
  <c r="J95" i="4"/>
  <c r="J93" i="4"/>
  <c r="J91" i="4"/>
  <c r="J90" i="4"/>
  <c r="J89" i="4"/>
  <c r="J88" i="4"/>
  <c r="J87" i="4"/>
  <c r="J86" i="4"/>
  <c r="J85" i="4"/>
  <c r="J82" i="4"/>
  <c r="J77" i="4"/>
  <c r="J75" i="4"/>
  <c r="J74" i="4"/>
  <c r="J73" i="4"/>
  <c r="J72" i="4"/>
  <c r="J71" i="4"/>
  <c r="J67" i="4"/>
  <c r="J66" i="4"/>
  <c r="J65" i="4"/>
  <c r="J64" i="4"/>
  <c r="J63" i="4"/>
  <c r="J62" i="4"/>
  <c r="J61" i="4"/>
  <c r="J60" i="4"/>
  <c r="J59" i="4"/>
  <c r="J58" i="4"/>
  <c r="J57" i="4"/>
  <c r="J56" i="4"/>
  <c r="J55" i="4"/>
  <c r="J53" i="4"/>
  <c r="J47" i="4"/>
  <c r="J44" i="4"/>
  <c r="J42" i="4"/>
  <c r="J40" i="4"/>
  <c r="J39" i="4"/>
  <c r="J38" i="4"/>
  <c r="J33" i="4"/>
  <c r="J32" i="4"/>
  <c r="J31" i="4"/>
  <c r="J30" i="4"/>
  <c r="J29" i="4"/>
  <c r="J28" i="4"/>
  <c r="J27" i="4"/>
  <c r="J26" i="4"/>
  <c r="J25" i="4"/>
  <c r="J24" i="4"/>
  <c r="J21" i="4"/>
  <c r="J20" i="4"/>
  <c r="J18" i="4"/>
  <c r="J17" i="4"/>
  <c r="J15" i="4"/>
  <c r="J14" i="4"/>
  <c r="J13" i="4"/>
  <c r="J12" i="4"/>
  <c r="J11" i="4"/>
  <c r="J9" i="4"/>
  <c r="J4" i="4"/>
  <c r="J3" i="4"/>
  <c r="J951" i="4"/>
  <c r="J1263" i="4" l="1"/>
  <c r="J1110" i="4"/>
  <c r="J1360" i="4"/>
  <c r="J199" i="4"/>
  <c r="J1373" i="4"/>
  <c r="J1092" i="4"/>
  <c r="I961" i="4"/>
  <c r="I960" i="4"/>
  <c r="I959" i="4"/>
  <c r="I958" i="4"/>
  <c r="I957" i="4"/>
  <c r="I954" i="4"/>
  <c r="I1090" i="4"/>
  <c r="I1089" i="4"/>
  <c r="I1024" i="4"/>
  <c r="I1023" i="4"/>
  <c r="G135" i="4"/>
  <c r="H732" i="4"/>
  <c r="I732" i="4" s="1"/>
  <c r="H731" i="4"/>
  <c r="I731" i="4" s="1"/>
  <c r="H730" i="4"/>
  <c r="I730" i="4" s="1"/>
  <c r="I956" i="4"/>
  <c r="I1349" i="4"/>
  <c r="I1348" i="4"/>
  <c r="J1029" i="4" l="1"/>
  <c r="J658" i="4"/>
  <c r="J435" i="4"/>
  <c r="J1265" i="4" l="1"/>
  <c r="J950" i="4" l="1"/>
  <c r="J949" i="4"/>
  <c r="J45" i="4" l="1"/>
  <c r="J136" i="4"/>
  <c r="I136" i="4"/>
  <c r="I135" i="4"/>
  <c r="H525" i="4"/>
  <c r="I525" i="4" s="1"/>
  <c r="H729" i="4"/>
  <c r="I729" i="4" s="1"/>
  <c r="H728" i="4"/>
  <c r="I728" i="4" s="1"/>
  <c r="H727" i="4"/>
  <c r="I727" i="4" s="1"/>
  <c r="I955" i="4"/>
  <c r="J430" i="4"/>
  <c r="I1347" i="4" l="1"/>
  <c r="I1346" i="4"/>
  <c r="I1368" i="4"/>
  <c r="I1373" i="4" s="1"/>
  <c r="G1088" i="4"/>
  <c r="I1088" i="4" s="1"/>
  <c r="G1087" i="4"/>
  <c r="I1087" i="4" s="1"/>
  <c r="I1022" i="4"/>
  <c r="I1021" i="4"/>
  <c r="I445" i="4"/>
  <c r="H184" i="4"/>
  <c r="I184" i="4" s="1"/>
  <c r="H726" i="4"/>
  <c r="I726" i="4" s="1"/>
  <c r="I953" i="4"/>
  <c r="I952" i="4"/>
  <c r="I951" i="4"/>
  <c r="I950" i="4"/>
  <c r="I949" i="4"/>
  <c r="I524" i="4" l="1"/>
  <c r="H134" i="4"/>
  <c r="I134" i="4" s="1"/>
  <c r="H444" i="4"/>
  <c r="I444" i="4" s="1"/>
  <c r="H725" i="4"/>
  <c r="I725" i="4" s="1"/>
  <c r="H724" i="4"/>
  <c r="I724" i="4" s="1"/>
  <c r="H723" i="4"/>
  <c r="I723" i="4" s="1"/>
  <c r="H722" i="4"/>
  <c r="I722" i="4" s="1"/>
  <c r="I948" i="4"/>
  <c r="I946" i="4"/>
  <c r="I947" i="4"/>
  <c r="I933" i="4"/>
  <c r="I945" i="4"/>
  <c r="I942" i="4"/>
  <c r="I941" i="4"/>
  <c r="I939" i="4"/>
  <c r="I938" i="4"/>
  <c r="I937" i="4"/>
  <c r="I935" i="4"/>
  <c r="I932" i="4"/>
  <c r="I931" i="4"/>
  <c r="I930" i="4"/>
  <c r="I929" i="4"/>
  <c r="H187" i="4"/>
  <c r="I187" i="4" s="1"/>
  <c r="H133" i="4"/>
  <c r="I133" i="4" s="1"/>
  <c r="I186" i="4"/>
  <c r="I944" i="4"/>
  <c r="I943" i="4"/>
  <c r="I940" i="4"/>
  <c r="J213" i="4"/>
  <c r="J432" i="4" l="1"/>
  <c r="J418" i="4"/>
  <c r="J227" i="4"/>
  <c r="H132" i="4"/>
  <c r="I132" i="4" s="1"/>
  <c r="H131" i="4"/>
  <c r="I131" i="4" s="1"/>
  <c r="H130" i="4"/>
  <c r="I130" i="4" s="1"/>
  <c r="H185" i="4"/>
  <c r="I185" i="4" s="1"/>
  <c r="I936" i="4"/>
  <c r="H721" i="4"/>
  <c r="I721" i="4" s="1"/>
  <c r="H720" i="4"/>
  <c r="I720" i="4" s="1"/>
  <c r="I126" i="4"/>
  <c r="J819" i="4" l="1"/>
  <c r="H129" i="4"/>
  <c r="I129" i="4" s="1"/>
  <c r="H128" i="4"/>
  <c r="I128" i="4" s="1"/>
  <c r="H127" i="4"/>
  <c r="I127" i="4" s="1"/>
  <c r="I934" i="4"/>
  <c r="I928" i="4"/>
  <c r="I927" i="4"/>
  <c r="I926" i="4"/>
  <c r="I925" i="4"/>
  <c r="I924" i="4"/>
  <c r="I1345" i="4"/>
  <c r="I1344" i="4"/>
  <c r="G1086" i="4"/>
  <c r="I1086" i="4" s="1"/>
  <c r="G1085" i="4"/>
  <c r="I1085" i="4" s="1"/>
  <c r="I1020" i="4"/>
  <c r="I1019" i="4"/>
  <c r="H125" i="4"/>
  <c r="I125" i="4" s="1"/>
  <c r="H442" i="4"/>
  <c r="I442" i="4" s="1"/>
  <c r="H441" i="4"/>
  <c r="I441" i="4" s="1"/>
  <c r="H440" i="4"/>
  <c r="I440" i="4" s="1"/>
  <c r="H439" i="4"/>
  <c r="I439" i="4" s="1"/>
  <c r="H437" i="4"/>
  <c r="I437" i="4" s="1"/>
  <c r="H718" i="4" l="1"/>
  <c r="I718" i="4" s="1"/>
  <c r="J779" i="4" l="1"/>
  <c r="I124" i="4"/>
  <c r="J423" i="4"/>
  <c r="H123" i="4"/>
  <c r="I123" i="4" s="1"/>
  <c r="H122" i="4"/>
  <c r="I122" i="4" s="1"/>
  <c r="H121" i="4"/>
  <c r="I121" i="4" s="1"/>
  <c r="H120" i="4"/>
  <c r="I120" i="4" s="1"/>
  <c r="H119" i="4"/>
  <c r="I119" i="4" s="1"/>
  <c r="H118" i="4"/>
  <c r="I118" i="4" s="1"/>
  <c r="H443" i="4"/>
  <c r="I443" i="4" s="1"/>
  <c r="I438" i="4"/>
  <c r="J114" i="4"/>
  <c r="I1084" i="4"/>
  <c r="I1083" i="4"/>
  <c r="I1082" i="4"/>
  <c r="I1081" i="4"/>
  <c r="I1080" i="4"/>
  <c r="I1079" i="4"/>
  <c r="I1078" i="4"/>
  <c r="I1077" i="4"/>
  <c r="I1075" i="4"/>
  <c r="I1074" i="4"/>
  <c r="I1073" i="4"/>
  <c r="I1072" i="4"/>
  <c r="I1071" i="4"/>
  <c r="G1076" i="4"/>
  <c r="I1076" i="4" s="1"/>
  <c r="I719" i="4"/>
  <c r="I923" i="4"/>
  <c r="I922" i="4"/>
  <c r="I921" i="4"/>
  <c r="H436" i="4"/>
  <c r="I436" i="4" s="1"/>
  <c r="H435" i="4"/>
  <c r="I435" i="4" s="1"/>
  <c r="H434" i="4"/>
  <c r="I434" i="4" s="1"/>
  <c r="I1343" i="4"/>
  <c r="I1342" i="4"/>
  <c r="I1341" i="4"/>
  <c r="I1340" i="4"/>
  <c r="H420" i="4"/>
  <c r="I420" i="4" s="1"/>
  <c r="G1210" i="4"/>
  <c r="G1211" i="4" s="1"/>
  <c r="I1018" i="4"/>
  <c r="I1017" i="4"/>
  <c r="I1016" i="4"/>
  <c r="I1015" i="4"/>
  <c r="I1014" i="4"/>
  <c r="I1013" i="4"/>
  <c r="I1070" i="4"/>
  <c r="I1096" i="4"/>
  <c r="I1004" i="4"/>
  <c r="I1003" i="4"/>
  <c r="I1002" i="4"/>
  <c r="I1094" i="4"/>
  <c r="H523" i="4"/>
  <c r="I523" i="4" s="1"/>
  <c r="H433" i="4"/>
  <c r="I433" i="4" s="1"/>
  <c r="J1097" i="4" l="1"/>
  <c r="J417" i="4"/>
  <c r="H717" i="4"/>
  <c r="I717" i="4" s="1"/>
  <c r="I431" i="4"/>
  <c r="I426" i="4"/>
  <c r="I920" i="4"/>
  <c r="I919" i="4"/>
  <c r="I918" i="4"/>
  <c r="I917" i="4"/>
  <c r="I916" i="4"/>
  <c r="H1249" i="4"/>
  <c r="I1249" i="4" s="1"/>
  <c r="H716" i="4"/>
  <c r="I716" i="4" s="1"/>
  <c r="H715" i="4"/>
  <c r="I715" i="4" s="1"/>
  <c r="H432" i="4"/>
  <c r="I432" i="4" s="1"/>
  <c r="I1008" i="4"/>
  <c r="I1007" i="4"/>
  <c r="I1006" i="4"/>
  <c r="I1005" i="4"/>
  <c r="I1095" i="4"/>
  <c r="I1097" i="4" s="1"/>
  <c r="I429" i="4"/>
  <c r="I428" i="4"/>
  <c r="I427" i="4"/>
  <c r="H417" i="4"/>
  <c r="J759" i="4" l="1"/>
  <c r="J600" i="4"/>
  <c r="J422" i="4"/>
  <c r="G1257" i="4"/>
  <c r="G753" i="4"/>
  <c r="H714" i="4"/>
  <c r="I714" i="4" s="1"/>
  <c r="I1032" i="4"/>
  <c r="I1031" i="4"/>
  <c r="G1034" i="4"/>
  <c r="I1034" i="4" s="1"/>
  <c r="G1033" i="4"/>
  <c r="H808" i="4"/>
  <c r="I808" i="4" s="1"/>
  <c r="G1036" i="4"/>
  <c r="I1036" i="4" s="1"/>
  <c r="G1035" i="4"/>
  <c r="I1035" i="4" s="1"/>
  <c r="G1038" i="4"/>
  <c r="I1038" i="4" s="1"/>
  <c r="G1037" i="4"/>
  <c r="I1037" i="4" s="1"/>
  <c r="G759" i="4"/>
  <c r="G82" i="4"/>
  <c r="G74" i="4"/>
  <c r="G1040" i="4"/>
  <c r="I1040" i="4" s="1"/>
  <c r="G1039" i="4"/>
  <c r="I1039" i="4" s="1"/>
  <c r="H430" i="4"/>
  <c r="I430" i="4" s="1"/>
  <c r="J1257" i="4" l="1"/>
  <c r="J753" i="4"/>
  <c r="J811" i="4"/>
  <c r="I1033" i="4"/>
  <c r="J319" i="4"/>
  <c r="I310" i="4"/>
  <c r="H518" i="4"/>
  <c r="I518" i="4" s="1"/>
  <c r="I765" i="4"/>
  <c r="I1046" i="4"/>
  <c r="I1042" i="4"/>
  <c r="I1041" i="4"/>
  <c r="I1049" i="4"/>
  <c r="I1048" i="4"/>
  <c r="I1210" i="4"/>
  <c r="I781" i="4"/>
  <c r="I1248" i="4"/>
  <c r="H425" i="4"/>
  <c r="I425" i="4" s="1"/>
  <c r="I522" i="4"/>
  <c r="I424" i="4"/>
  <c r="I1069" i="4"/>
  <c r="I1068" i="4"/>
  <c r="I1067" i="4"/>
  <c r="I1066" i="4"/>
  <c r="I1065" i="4"/>
  <c r="I1064" i="4"/>
  <c r="I1063" i="4"/>
  <c r="I1062" i="4"/>
  <c r="I1061" i="4"/>
  <c r="I1060" i="4"/>
  <c r="I1059" i="4"/>
  <c r="G1058" i="4"/>
  <c r="I1058" i="4" s="1"/>
  <c r="G1057" i="4"/>
  <c r="I1057" i="4" s="1"/>
  <c r="G1056" i="4"/>
  <c r="I1056" i="4" s="1"/>
  <c r="G1055" i="4"/>
  <c r="I1055" i="4" s="1"/>
  <c r="I1012" i="4"/>
  <c r="I1011" i="4"/>
  <c r="I1010" i="4"/>
  <c r="I1009" i="4"/>
  <c r="I1339" i="4"/>
  <c r="I1338" i="4"/>
  <c r="H713" i="4"/>
  <c r="I423" i="4"/>
  <c r="I1209" i="4"/>
  <c r="I1208" i="4"/>
  <c r="I422" i="4"/>
  <c r="I421" i="4"/>
  <c r="G1092" i="4" l="1"/>
  <c r="J1203" i="4"/>
  <c r="I713" i="4"/>
  <c r="G1337" i="4"/>
  <c r="G1360" i="4" s="1"/>
  <c r="I1336" i="4"/>
  <c r="I1335" i="4"/>
  <c r="I1334" i="4"/>
  <c r="I1333" i="4"/>
  <c r="I1332" i="4"/>
  <c r="I1331" i="4"/>
  <c r="I1330" i="4"/>
  <c r="I1329" i="4"/>
  <c r="I1328" i="4"/>
  <c r="I1327" i="4"/>
  <c r="I1326" i="4"/>
  <c r="I1325" i="4"/>
  <c r="I1324" i="4"/>
  <c r="I1323" i="4"/>
  <c r="I1322" i="4"/>
  <c r="I1321" i="4"/>
  <c r="I1320" i="4"/>
  <c r="I1319" i="4"/>
  <c r="I1318" i="4"/>
  <c r="I1317" i="4"/>
  <c r="I1316" i="4"/>
  <c r="I1315" i="4"/>
  <c r="I1314" i="4"/>
  <c r="I1313" i="4"/>
  <c r="I1312" i="4"/>
  <c r="I1311" i="4"/>
  <c r="I1310" i="4"/>
  <c r="H712" i="4"/>
  <c r="I712" i="4" s="1"/>
  <c r="H711" i="4"/>
  <c r="I711" i="4" s="1"/>
  <c r="H710" i="4"/>
  <c r="I710" i="4" s="1"/>
  <c r="H709" i="4"/>
  <c r="I709" i="4" s="1"/>
  <c r="H1207" i="4"/>
  <c r="I1207" i="4" s="1"/>
  <c r="H227" i="4"/>
  <c r="I227" i="4" s="1"/>
  <c r="H419" i="4"/>
  <c r="I419" i="4" s="1"/>
  <c r="H418" i="4"/>
  <c r="I418" i="4" s="1"/>
  <c r="I704" i="4"/>
  <c r="I417" i="4"/>
  <c r="I1337" i="4" l="1"/>
  <c r="J334" i="4" l="1"/>
  <c r="I1054" i="4"/>
  <c r="I1053" i="4"/>
  <c r="I1052" i="4"/>
  <c r="I1051" i="4"/>
  <c r="I1050" i="4"/>
  <c r="I1001" i="4"/>
  <c r="I1000" i="4"/>
  <c r="I999" i="4"/>
  <c r="I998" i="4"/>
  <c r="I915" i="4"/>
  <c r="I780" i="4"/>
  <c r="G779" i="4"/>
  <c r="I779" i="4" s="1"/>
  <c r="I778" i="4"/>
  <c r="H708" i="4"/>
  <c r="I708" i="4" s="1"/>
  <c r="H707" i="4"/>
  <c r="I707" i="4" s="1"/>
  <c r="H416" i="4"/>
  <c r="I416" i="4" s="1"/>
  <c r="I415" i="4"/>
  <c r="I414" i="4"/>
  <c r="H413" i="4"/>
  <c r="I413" i="4" s="1"/>
  <c r="H412" i="4"/>
  <c r="I412" i="4" s="1"/>
  <c r="I411" i="4"/>
  <c r="H410" i="4"/>
  <c r="I410" i="4" s="1"/>
  <c r="H409" i="4"/>
  <c r="I409" i="4" s="1"/>
  <c r="I408" i="4"/>
  <c r="I407" i="4"/>
  <c r="I406" i="4"/>
  <c r="H405" i="4"/>
  <c r="I405" i="4" s="1"/>
  <c r="H404" i="4"/>
  <c r="I404" i="4" s="1"/>
  <c r="I403" i="4"/>
  <c r="I402" i="4"/>
  <c r="H401" i="4"/>
  <c r="I401" i="4" s="1"/>
  <c r="H400" i="4"/>
  <c r="I400" i="4" s="1"/>
  <c r="H395" i="4"/>
  <c r="I395" i="4" s="1"/>
  <c r="H1199" i="4"/>
  <c r="I1199" i="4" s="1"/>
  <c r="H1192" i="4"/>
  <c r="I1192" i="4" s="1"/>
  <c r="H1182" i="4"/>
  <c r="I1182" i="4" s="1"/>
  <c r="H1206" i="4"/>
  <c r="I1206" i="4" s="1"/>
  <c r="I1205" i="4"/>
  <c r="H1204" i="4"/>
  <c r="I1204" i="4" s="1"/>
  <c r="I1203" i="4"/>
  <c r="H1202" i="4"/>
  <c r="I1202" i="4" s="1"/>
  <c r="H399" i="4"/>
  <c r="I399" i="4" s="1"/>
  <c r="H398" i="4"/>
  <c r="I398" i="4" s="1"/>
  <c r="I397" i="4"/>
  <c r="H396" i="4"/>
  <c r="I396" i="4" s="1"/>
  <c r="I1201" i="4"/>
  <c r="I1200" i="4"/>
  <c r="I1198" i="4"/>
  <c r="I1197" i="4"/>
  <c r="I394" i="4"/>
  <c r="H393" i="4"/>
  <c r="I393" i="4" s="1"/>
  <c r="H392" i="4"/>
  <c r="I392" i="4" s="1"/>
  <c r="H391" i="4"/>
  <c r="I391" i="4" s="1"/>
  <c r="I389" i="4"/>
  <c r="I388" i="4"/>
  <c r="I387" i="4"/>
  <c r="H386" i="4"/>
  <c r="I386" i="4" s="1"/>
  <c r="H1196" i="4"/>
  <c r="I1196" i="4" s="1"/>
  <c r="I385" i="4"/>
  <c r="H384" i="4"/>
  <c r="I384" i="4" s="1"/>
  <c r="H1195" i="4"/>
  <c r="I1195" i="4" s="1"/>
  <c r="H383" i="4"/>
  <c r="I383" i="4" s="1"/>
  <c r="H382" i="4"/>
  <c r="I382" i="4" s="1"/>
  <c r="H381" i="4"/>
  <c r="I381" i="4" s="1"/>
  <c r="H380" i="4"/>
  <c r="I380" i="4" s="1"/>
  <c r="I914" i="4"/>
  <c r="I913" i="4"/>
  <c r="I912" i="4"/>
  <c r="I911" i="4"/>
  <c r="I1309" i="4" l="1"/>
  <c r="I1308" i="4"/>
  <c r="H1185" i="4"/>
  <c r="I1185" i="4" s="1"/>
  <c r="G770" i="4"/>
  <c r="I770" i="4" s="1"/>
  <c r="I379" i="4"/>
  <c r="H390" i="4"/>
  <c r="I390" i="4" s="1"/>
  <c r="H1247" i="4"/>
  <c r="I1247" i="4" s="1"/>
  <c r="H1246" i="4"/>
  <c r="I1246" i="4" s="1"/>
  <c r="I1193" i="4" l="1"/>
  <c r="I1191" i="4"/>
  <c r="I378" i="4"/>
  <c r="I117" i="4"/>
  <c r="I377" i="4"/>
  <c r="I376" i="4"/>
  <c r="I375" i="4"/>
  <c r="I374" i="4"/>
  <c r="I910" i="4"/>
  <c r="I909" i="4"/>
  <c r="I908" i="4"/>
  <c r="I1045" i="4"/>
  <c r="I1047" i="4"/>
  <c r="G992" i="4"/>
  <c r="G1029" i="4" s="1"/>
  <c r="I997" i="4"/>
  <c r="I996" i="4"/>
  <c r="I995" i="4"/>
  <c r="I994" i="4"/>
  <c r="G8" i="4"/>
  <c r="I1044" i="4"/>
  <c r="I1043" i="4"/>
  <c r="I993" i="4"/>
  <c r="G776" i="4"/>
  <c r="I776" i="4" s="1"/>
  <c r="H1159" i="4"/>
  <c r="I1159" i="4" s="1"/>
  <c r="G773" i="4"/>
  <c r="I773" i="4" s="1"/>
  <c r="H706" i="4"/>
  <c r="I706" i="4" s="1"/>
  <c r="H705" i="4"/>
  <c r="I705" i="4" s="1"/>
  <c r="H1194" i="4"/>
  <c r="I1194" i="4" s="1"/>
  <c r="H373" i="4"/>
  <c r="I373" i="4" s="1"/>
  <c r="H371" i="4"/>
  <c r="I371" i="4" s="1"/>
  <c r="H1183" i="4"/>
  <c r="I1183" i="4" s="1"/>
  <c r="I703" i="4"/>
  <c r="I702" i="4"/>
  <c r="I701" i="4"/>
  <c r="H700" i="4"/>
  <c r="I700" i="4" s="1"/>
  <c r="I699" i="4"/>
  <c r="I698" i="4"/>
  <c r="I697" i="4"/>
  <c r="I696" i="4"/>
  <c r="H695" i="4"/>
  <c r="I695" i="4" s="1"/>
  <c r="I694" i="4"/>
  <c r="I693" i="4"/>
  <c r="I692" i="4"/>
  <c r="H691" i="4"/>
  <c r="I691" i="4" s="1"/>
  <c r="H690" i="4"/>
  <c r="I690" i="4" s="1"/>
  <c r="I689" i="4"/>
  <c r="I688" i="4"/>
  <c r="I687" i="4"/>
  <c r="I686" i="4"/>
  <c r="G748" i="4"/>
  <c r="H1190" i="4"/>
  <c r="I1190" i="4" s="1"/>
  <c r="H1189" i="4"/>
  <c r="I1189" i="4" s="1"/>
  <c r="H1188" i="4"/>
  <c r="I1188" i="4" s="1"/>
  <c r="H1187" i="4"/>
  <c r="I1187" i="4" s="1"/>
  <c r="H372" i="4"/>
  <c r="I372" i="4" s="1"/>
  <c r="I1186" i="4"/>
  <c r="H1174" i="4"/>
  <c r="I1174" i="4" s="1"/>
  <c r="H1184" i="4"/>
  <c r="I1184" i="4" s="1"/>
  <c r="I370" i="4"/>
  <c r="I369" i="4"/>
  <c r="I368" i="4"/>
  <c r="H367" i="4"/>
  <c r="I367" i="4" s="1"/>
  <c r="I366" i="4"/>
  <c r="I365" i="4"/>
  <c r="I364" i="4"/>
  <c r="I1181" i="4"/>
  <c r="H363" i="4"/>
  <c r="I363" i="4" s="1"/>
  <c r="I1092" i="4" l="1"/>
  <c r="J767" i="4"/>
  <c r="J502" i="4"/>
  <c r="I992" i="4"/>
  <c r="I1029" i="4" s="1"/>
  <c r="H1180" i="4"/>
  <c r="I1180" i="4" s="1"/>
  <c r="H1179" i="4"/>
  <c r="I1179" i="4" s="1"/>
  <c r="H1178" i="4"/>
  <c r="I1178" i="4" s="1"/>
  <c r="H1177" i="4"/>
  <c r="I1177" i="4" s="1"/>
  <c r="I362" i="4"/>
  <c r="H1176" i="4"/>
  <c r="I1176" i="4" s="1"/>
  <c r="I1175" i="4"/>
  <c r="H361" i="4"/>
  <c r="I361" i="4" s="1"/>
  <c r="I777" i="4"/>
  <c r="I907" i="4"/>
  <c r="I906" i="4"/>
  <c r="I775" i="4"/>
  <c r="H774" i="4"/>
  <c r="H787" i="4" s="1"/>
  <c r="I772" i="4"/>
  <c r="I771" i="4"/>
  <c r="I769" i="4"/>
  <c r="I768" i="4"/>
  <c r="I905" i="4"/>
  <c r="I904" i="4"/>
  <c r="I685" i="4"/>
  <c r="I684" i="4"/>
  <c r="H683" i="4"/>
  <c r="I683" i="4" s="1"/>
  <c r="I682" i="4"/>
  <c r="I681" i="4"/>
  <c r="H680" i="4"/>
  <c r="I680" i="4" s="1"/>
  <c r="H679" i="4"/>
  <c r="I679" i="4" s="1"/>
  <c r="H360" i="4"/>
  <c r="I360" i="4" s="1"/>
  <c r="H1173" i="4"/>
  <c r="I1173" i="4" s="1"/>
  <c r="H1158" i="4"/>
  <c r="I1158" i="4" s="1"/>
  <c r="H1172" i="4"/>
  <c r="I1172" i="4" s="1"/>
  <c r="H1171" i="4"/>
  <c r="I1171" i="4" s="1"/>
  <c r="H1170" i="4"/>
  <c r="I1170" i="4" s="1"/>
  <c r="H1169" i="4"/>
  <c r="I1169" i="4" s="1"/>
  <c r="H1168" i="4"/>
  <c r="I1168" i="4" s="1"/>
  <c r="H1167" i="4"/>
  <c r="I1167" i="4" s="1"/>
  <c r="H359" i="4"/>
  <c r="I359" i="4" s="1"/>
  <c r="I116" i="4"/>
  <c r="H358" i="4"/>
  <c r="I358" i="4" s="1"/>
  <c r="H1166" i="4"/>
  <c r="I1166" i="4" s="1"/>
  <c r="I357" i="4"/>
  <c r="H356" i="4"/>
  <c r="I356" i="4" s="1"/>
  <c r="I355" i="4"/>
  <c r="H1165" i="4"/>
  <c r="I1165" i="4" s="1"/>
  <c r="H1164" i="4"/>
  <c r="I1164" i="4" s="1"/>
  <c r="H1163" i="4"/>
  <c r="I1163" i="4" s="1"/>
  <c r="H354" i="4"/>
  <c r="I354" i="4" s="1"/>
  <c r="H353" i="4"/>
  <c r="I353" i="4" s="1"/>
  <c r="I352" i="4"/>
  <c r="I351" i="4"/>
  <c r="H350" i="4"/>
  <c r="I350" i="4" s="1"/>
  <c r="I349" i="4"/>
  <c r="I348" i="4"/>
  <c r="I347" i="4"/>
  <c r="H1162" i="4"/>
  <c r="I1162" i="4" s="1"/>
  <c r="H1275" i="4"/>
  <c r="I1275" i="4" s="1"/>
  <c r="H1274" i="4"/>
  <c r="I1274" i="4" s="1"/>
  <c r="H346" i="4"/>
  <c r="I346" i="4" s="1"/>
  <c r="I345" i="4"/>
  <c r="H1273" i="4"/>
  <c r="I1273" i="4" s="1"/>
  <c r="H1272" i="4"/>
  <c r="I1272" i="4" s="1"/>
  <c r="H1161" i="4"/>
  <c r="I1161" i="4" s="1"/>
  <c r="H344" i="4"/>
  <c r="I344" i="4" s="1"/>
  <c r="H343" i="4"/>
  <c r="I343" i="4" s="1"/>
  <c r="H342" i="4"/>
  <c r="I342" i="4" s="1"/>
  <c r="H341" i="4"/>
  <c r="I341" i="4" s="1"/>
  <c r="H340" i="4"/>
  <c r="I340" i="4" s="1"/>
  <c r="H338" i="4"/>
  <c r="I338" i="4" s="1"/>
  <c r="H1160" i="4"/>
  <c r="I1160" i="4" s="1"/>
  <c r="H1135" i="4"/>
  <c r="I1135" i="4" s="1"/>
  <c r="H334" i="4"/>
  <c r="I334" i="4" s="1"/>
  <c r="I335" i="4"/>
  <c r="H333" i="4"/>
  <c r="I333" i="4" s="1"/>
  <c r="H332" i="4"/>
  <c r="I332" i="4" s="1"/>
  <c r="H1157" i="4"/>
  <c r="I1157" i="4" s="1"/>
  <c r="H1156" i="4"/>
  <c r="I1156" i="4" s="1"/>
  <c r="I330" i="4"/>
  <c r="H521" i="4"/>
  <c r="I521" i="4" s="1"/>
  <c r="H328" i="4"/>
  <c r="I328" i="4" s="1"/>
  <c r="H327" i="4"/>
  <c r="I327" i="4" s="1"/>
  <c r="H326" i="4"/>
  <c r="I326" i="4" s="1"/>
  <c r="H658" i="4"/>
  <c r="I658" i="4" s="1"/>
  <c r="H114" i="4"/>
  <c r="I114" i="4" s="1"/>
  <c r="H324" i="4"/>
  <c r="I324" i="4" s="1"/>
  <c r="H323" i="4"/>
  <c r="I323" i="4" s="1"/>
  <c r="G837" i="4"/>
  <c r="G797" i="4"/>
  <c r="G228" i="4"/>
  <c r="H614" i="4"/>
  <c r="I614" i="4" s="1"/>
  <c r="H613" i="4"/>
  <c r="I613" i="4" s="1"/>
  <c r="H611" i="4"/>
  <c r="I611" i="4" s="1"/>
  <c r="I1271" i="4"/>
  <c r="H1132" i="4"/>
  <c r="I1132" i="4" s="1"/>
  <c r="I253" i="4"/>
  <c r="H1131" i="4"/>
  <c r="I1131" i="4" s="1"/>
  <c r="H1130" i="4"/>
  <c r="I1130" i="4" s="1"/>
  <c r="I290" i="4"/>
  <c r="I1129" i="4"/>
  <c r="I1128" i="4"/>
  <c r="H1127" i="4"/>
  <c r="I1127" i="4" s="1"/>
  <c r="H1126" i="4"/>
  <c r="I1126" i="4" s="1"/>
  <c r="H1125" i="4"/>
  <c r="I1125" i="4" s="1"/>
  <c r="I1124" i="4"/>
  <c r="H43" i="4"/>
  <c r="I43" i="4" s="1"/>
  <c r="I1123" i="4"/>
  <c r="H1122" i="4"/>
  <c r="I1122" i="4" s="1"/>
  <c r="H1121" i="4"/>
  <c r="I1121" i="4" s="1"/>
  <c r="I42" i="4"/>
  <c r="H41" i="4"/>
  <c r="I41" i="4" s="1"/>
  <c r="I40" i="4"/>
  <c r="I1119" i="4"/>
  <c r="I1118" i="4"/>
  <c r="H1115" i="4"/>
  <c r="I1115" i="4" s="1"/>
  <c r="H1108" i="4"/>
  <c r="I1108" i="4" s="1"/>
  <c r="H1107" i="4"/>
  <c r="I1107" i="4" s="1"/>
  <c r="H1099" i="4"/>
  <c r="H1113" i="4"/>
  <c r="I1113" i="4" s="1"/>
  <c r="I1221" i="4"/>
  <c r="H1220" i="4"/>
  <c r="I1112" i="4"/>
  <c r="H1111" i="4"/>
  <c r="I1111" i="4" s="1"/>
  <c r="H1217" i="4"/>
  <c r="I1217" i="4" s="1"/>
  <c r="H1216" i="4"/>
  <c r="I1216" i="4" s="1"/>
  <c r="I1109" i="4"/>
  <c r="I158" i="4"/>
  <c r="H1106" i="4"/>
  <c r="I1106" i="4" s="1"/>
  <c r="H1105" i="4"/>
  <c r="I1105" i="4" s="1"/>
  <c r="H1215" i="4"/>
  <c r="I1215" i="4" s="1"/>
  <c r="H1214" i="4"/>
  <c r="I1214" i="4" s="1"/>
  <c r="H1213" i="4"/>
  <c r="H1104" i="4"/>
  <c r="I1104" i="4" s="1"/>
  <c r="H1102" i="4"/>
  <c r="I1102" i="4" s="1"/>
  <c r="I1101" i="4"/>
  <c r="H1100" i="4"/>
  <c r="I1100" i="4" s="1"/>
  <c r="J519" i="4"/>
  <c r="J507" i="4"/>
  <c r="I115" i="4"/>
  <c r="I339" i="4"/>
  <c r="I337" i="4"/>
  <c r="I336" i="4"/>
  <c r="H1155" i="4"/>
  <c r="I1155" i="4" s="1"/>
  <c r="I331" i="4"/>
  <c r="I329" i="4"/>
  <c r="H1154" i="4"/>
  <c r="I1154" i="4" s="1"/>
  <c r="H1153" i="4"/>
  <c r="I1153" i="4" s="1"/>
  <c r="H1152" i="4"/>
  <c r="I1152" i="4" s="1"/>
  <c r="H1151" i="4"/>
  <c r="I1151" i="4" s="1"/>
  <c r="I1150" i="4"/>
  <c r="H1149" i="4"/>
  <c r="I1149" i="4" s="1"/>
  <c r="H1148" i="4"/>
  <c r="I1148" i="4" s="1"/>
  <c r="I1147" i="4"/>
  <c r="H1146" i="4"/>
  <c r="I1146" i="4" s="1"/>
  <c r="H1218" i="4" l="1"/>
  <c r="I1213" i="4"/>
  <c r="I1218" i="4" s="1"/>
  <c r="I1220" i="4"/>
  <c r="H1224" i="4"/>
  <c r="J816" i="4"/>
  <c r="J1366" i="4"/>
  <c r="J837" i="4"/>
  <c r="I774" i="4"/>
  <c r="I1099" i="4"/>
  <c r="H1145" i="4"/>
  <c r="I1145" i="4" s="1"/>
  <c r="H1144" i="4"/>
  <c r="I1144" i="4" s="1"/>
  <c r="H1143" i="4"/>
  <c r="I1143" i="4" s="1"/>
  <c r="H1142" i="4"/>
  <c r="I1142" i="4" s="1"/>
  <c r="H325" i="4"/>
  <c r="I325" i="4" s="1"/>
  <c r="H1141" i="4"/>
  <c r="I1141" i="4" s="1"/>
  <c r="H1140" i="4"/>
  <c r="I1140" i="4" s="1"/>
  <c r="H1139" i="4"/>
  <c r="I1139" i="4" s="1"/>
  <c r="H1138" i="4"/>
  <c r="I1138" i="4" s="1"/>
  <c r="H1137" i="4"/>
  <c r="I1137" i="4" s="1"/>
  <c r="H1136" i="4"/>
  <c r="I678" i="4"/>
  <c r="I677" i="4"/>
  <c r="I674" i="4"/>
  <c r="H1244" i="4"/>
  <c r="I1244" i="4" s="1"/>
  <c r="H113" i="4"/>
  <c r="I113" i="4" s="1"/>
  <c r="H319" i="4"/>
  <c r="I319" i="4" s="1"/>
  <c r="I676" i="4"/>
  <c r="I675" i="4"/>
  <c r="I1136" i="4" l="1"/>
  <c r="I673" i="4"/>
  <c r="I672" i="4"/>
  <c r="I671" i="4"/>
  <c r="I670" i="4"/>
  <c r="I669" i="4"/>
  <c r="I668" i="4"/>
  <c r="I667" i="4"/>
  <c r="I666" i="4"/>
  <c r="I665" i="4"/>
  <c r="H664" i="4"/>
  <c r="I664" i="4" s="1"/>
  <c r="I663" i="4"/>
  <c r="I662" i="4"/>
  <c r="I661" i="4"/>
  <c r="I660" i="4"/>
  <c r="I659" i="4"/>
  <c r="I657" i="4"/>
  <c r="I656" i="4"/>
  <c r="I655" i="4"/>
  <c r="I653" i="4"/>
  <c r="I652" i="4"/>
  <c r="I651" i="4"/>
  <c r="I650" i="4"/>
  <c r="I903" i="4"/>
  <c r="I1103" i="4"/>
  <c r="I1363" i="4"/>
  <c r="I760" i="4"/>
  <c r="I190" i="4" l="1"/>
  <c r="I515" i="4"/>
  <c r="I1270" i="4"/>
  <c r="H1269" i="4"/>
  <c r="I1269" i="4" s="1"/>
  <c r="H1268" i="4"/>
  <c r="I322" i="4"/>
  <c r="I321" i="4"/>
  <c r="I320" i="4"/>
  <c r="I654" i="4"/>
  <c r="H1276" i="4" l="1"/>
  <c r="I1268" i="4"/>
  <c r="I1276" i="4" s="1"/>
  <c r="I1307" i="4" l="1"/>
  <c r="I1306" i="4"/>
  <c r="I902" i="4"/>
  <c r="I901" i="4"/>
  <c r="I900" i="4"/>
  <c r="G899" i="4"/>
  <c r="I899" i="4" s="1"/>
  <c r="G767" i="4"/>
  <c r="I767" i="4" s="1"/>
  <c r="H649" i="4"/>
  <c r="I649" i="4" s="1"/>
  <c r="H1243" i="4"/>
  <c r="H112" i="4"/>
  <c r="I112" i="4" s="1"/>
  <c r="I1242" i="4"/>
  <c r="I1241" i="4"/>
  <c r="H648" i="4"/>
  <c r="I648" i="4" s="1"/>
  <c r="H647" i="4"/>
  <c r="I647" i="4" s="1"/>
  <c r="H1240" i="4"/>
  <c r="H646" i="4"/>
  <c r="I646" i="4" s="1"/>
  <c r="I1226" i="4"/>
  <c r="H1238" i="4"/>
  <c r="H1237" i="4"/>
  <c r="H645" i="4"/>
  <c r="I645" i="4" s="1"/>
  <c r="H1239" i="4"/>
  <c r="H1265" i="4"/>
  <c r="H1236" i="4"/>
  <c r="H318" i="4"/>
  <c r="I318" i="4" s="1"/>
  <c r="H1235" i="4"/>
  <c r="H835" i="4"/>
  <c r="I835" i="4" s="1"/>
  <c r="H111" i="4"/>
  <c r="I111" i="4" s="1"/>
  <c r="H110" i="4"/>
  <c r="I110" i="4" s="1"/>
  <c r="H1232" i="4"/>
  <c r="I1236" i="4" l="1"/>
  <c r="I1239" i="4"/>
  <c r="I1232" i="4"/>
  <c r="I1238" i="4"/>
  <c r="I1265" i="4"/>
  <c r="I1240" i="4"/>
  <c r="I1243" i="4"/>
  <c r="I1237" i="4"/>
  <c r="I1235" i="4"/>
  <c r="H1230" i="4" l="1"/>
  <c r="H644" i="4"/>
  <c r="I644" i="4" s="1"/>
  <c r="H643" i="4"/>
  <c r="I643" i="4" s="1"/>
  <c r="H1234" i="4"/>
  <c r="I317" i="4"/>
  <c r="H1233" i="4"/>
  <c r="I1233" i="4" s="1"/>
  <c r="H1231" i="4"/>
  <c r="H316" i="4"/>
  <c r="I316" i="4" s="1"/>
  <c r="H315" i="4"/>
  <c r="I315" i="4" s="1"/>
  <c r="H1250" i="4" l="1"/>
  <c r="I1234" i="4"/>
  <c r="I1230" i="4"/>
  <c r="I1231" i="4"/>
  <c r="H314" i="4"/>
  <c r="I314" i="4" s="1"/>
  <c r="G816" i="4"/>
  <c r="H308" i="4"/>
  <c r="I308" i="4" s="1"/>
  <c r="J313" i="4"/>
  <c r="J312" i="4"/>
  <c r="H796" i="4"/>
  <c r="I796" i="4" s="1"/>
  <c r="G898" i="4"/>
  <c r="I898" i="4" s="1"/>
  <c r="H309" i="4"/>
  <c r="I309" i="4" s="1"/>
  <c r="H313" i="4"/>
  <c r="I313" i="4" s="1"/>
  <c r="H312" i="4"/>
  <c r="I312" i="4" s="1"/>
  <c r="H183" i="4"/>
  <c r="I183" i="4" s="1"/>
  <c r="H311" i="4"/>
  <c r="H520" i="4"/>
  <c r="I520" i="4" s="1"/>
  <c r="H642" i="4"/>
  <c r="I642" i="4" s="1"/>
  <c r="G766" i="4"/>
  <c r="I766" i="4" s="1"/>
  <c r="H109" i="4"/>
  <c r="I109" i="4" s="1"/>
  <c r="H226" i="4"/>
  <c r="I226" i="4" s="1"/>
  <c r="J797" i="4" l="1"/>
  <c r="J792" i="4"/>
  <c r="I311" i="4"/>
  <c r="I641" i="4" l="1"/>
  <c r="J1133" i="4" l="1"/>
  <c r="H108" i="4"/>
  <c r="I108" i="4" s="1"/>
  <c r="I1134" i="4"/>
  <c r="H1133" i="4"/>
  <c r="H225" i="4"/>
  <c r="I225" i="4" s="1"/>
  <c r="I107" i="4"/>
  <c r="I1228" i="4"/>
  <c r="I101" i="4"/>
  <c r="H640" i="4"/>
  <c r="I640" i="4" s="1"/>
  <c r="G764" i="4"/>
  <c r="I764" i="4" s="1"/>
  <c r="G762" i="4"/>
  <c r="I762" i="4" s="1"/>
  <c r="I1305" i="4"/>
  <c r="I1304" i="4"/>
  <c r="I890" i="4"/>
  <c r="I73" i="4"/>
  <c r="I832" i="4"/>
  <c r="I876" i="4"/>
  <c r="I875" i="4"/>
  <c r="I874" i="4"/>
  <c r="I873" i="4"/>
  <c r="I865" i="4"/>
  <c r="I864" i="4"/>
  <c r="I863" i="4"/>
  <c r="I862" i="4"/>
  <c r="G854" i="4"/>
  <c r="G990" i="4" s="1"/>
  <c r="I852" i="4"/>
  <c r="I605" i="4"/>
  <c r="I850" i="4"/>
  <c r="I849" i="4"/>
  <c r="I65" i="4"/>
  <c r="H53" i="4"/>
  <c r="I53" i="4" s="1"/>
  <c r="H56" i="4"/>
  <c r="I56" i="4" s="1"/>
  <c r="I63" i="4"/>
  <c r="I279" i="4"/>
  <c r="H215" i="4"/>
  <c r="I215" i="4" s="1"/>
  <c r="I150" i="4"/>
  <c r="H565" i="4"/>
  <c r="I565" i="4" s="1"/>
  <c r="H291" i="4"/>
  <c r="I291" i="4" s="1"/>
  <c r="H482" i="4"/>
  <c r="I482" i="4" s="1"/>
  <c r="H481" i="4"/>
  <c r="I481" i="4" s="1"/>
  <c r="I144" i="4"/>
  <c r="H479" i="4"/>
  <c r="I479" i="4" s="1"/>
  <c r="H478" i="4"/>
  <c r="I44" i="4"/>
  <c r="I1133" i="4" l="1"/>
  <c r="I854" i="4"/>
  <c r="I478" i="4"/>
  <c r="I1229" i="4"/>
  <c r="H106" i="4"/>
  <c r="I106" i="4" s="1"/>
  <c r="H519" i="4"/>
  <c r="I519" i="4" s="1"/>
  <c r="H105" i="4"/>
  <c r="I105" i="4" s="1"/>
  <c r="I1227" i="4"/>
  <c r="I1250" i="4" s="1"/>
  <c r="I897" i="4"/>
  <c r="I896" i="4"/>
  <c r="I889" i="4"/>
  <c r="I888" i="4"/>
  <c r="I887" i="4"/>
  <c r="H563" i="4"/>
  <c r="I563" i="4" s="1"/>
  <c r="H562" i="4"/>
  <c r="I562" i="4" s="1"/>
  <c r="I823" i="4"/>
  <c r="I822" i="4"/>
  <c r="I1253" i="4"/>
  <c r="I163" i="4"/>
  <c r="H143" i="4"/>
  <c r="I143" i="4" s="1"/>
  <c r="I604" i="4"/>
  <c r="H1120" i="4"/>
  <c r="H1117" i="4"/>
  <c r="I752" i="4"/>
  <c r="I1120" i="4" l="1"/>
  <c r="I1117" i="4"/>
  <c r="I90" i="4" l="1"/>
  <c r="I96" i="4"/>
  <c r="I95" i="4"/>
  <c r="I895" i="4"/>
  <c r="I894" i="4"/>
  <c r="I893" i="4"/>
  <c r="I892" i="4"/>
  <c r="I603" i="4"/>
  <c r="I610" i="4"/>
  <c r="H1116" i="4"/>
  <c r="I20" i="4"/>
  <c r="H591" i="4"/>
  <c r="I591" i="4" s="1"/>
  <c r="H1110" i="4"/>
  <c r="I1222" i="4"/>
  <c r="I1223" i="4"/>
  <c r="I1264" i="4"/>
  <c r="H1263" i="4"/>
  <c r="H1266" i="4" s="1"/>
  <c r="G1263" i="4"/>
  <c r="G1266" i="4" s="1"/>
  <c r="H1211" i="4" l="1"/>
  <c r="I1224" i="4"/>
  <c r="I1116" i="4"/>
  <c r="I1110" i="4"/>
  <c r="I1263" i="4"/>
  <c r="I1266" i="4" s="1"/>
  <c r="H104" i="4"/>
  <c r="I104" i="4" s="1"/>
  <c r="H224" i="4"/>
  <c r="I224" i="4" s="1"/>
  <c r="I182" i="4"/>
  <c r="G763" i="4"/>
  <c r="I763" i="4" s="1"/>
  <c r="G761" i="4"/>
  <c r="I761" i="4" s="1"/>
  <c r="I891" i="4"/>
  <c r="I886" i="4"/>
  <c r="J885" i="4"/>
  <c r="I885" i="4"/>
  <c r="I103" i="4"/>
  <c r="J294" i="4"/>
  <c r="H307" i="4"/>
  <c r="I307" i="4" s="1"/>
  <c r="H102" i="4"/>
  <c r="I102" i="4" s="1"/>
  <c r="J990" i="4" l="1"/>
  <c r="J880" i="4"/>
  <c r="I1303" i="4" l="1"/>
  <c r="I1302" i="4"/>
  <c r="H306" i="4"/>
  <c r="I306" i="4" s="1"/>
  <c r="H638" i="4"/>
  <c r="I638" i="4" s="1"/>
  <c r="I759" i="4"/>
  <c r="H100" i="4"/>
  <c r="I100" i="4" s="1"/>
  <c r="H305" i="4"/>
  <c r="I305" i="4" s="1"/>
  <c r="I304" i="4"/>
  <c r="H295" i="4"/>
  <c r="I99" i="4"/>
  <c r="I98" i="4"/>
  <c r="H97" i="4"/>
  <c r="I97" i="4" s="1"/>
  <c r="I884" i="4" l="1"/>
  <c r="H639" i="4"/>
  <c r="I639" i="4" s="1"/>
  <c r="H637" i="4"/>
  <c r="I637" i="4" s="1"/>
  <c r="I636" i="4"/>
  <c r="H303" i="4"/>
  <c r="I303" i="4" s="1"/>
  <c r="H181" i="4"/>
  <c r="I181" i="4" s="1"/>
  <c r="H301" i="4"/>
  <c r="I301" i="4" s="1"/>
  <c r="H300" i="4"/>
  <c r="I300" i="4" s="1"/>
  <c r="H94" i="4"/>
  <c r="I94" i="4" s="1"/>
  <c r="H298" i="4"/>
  <c r="I298" i="4" s="1"/>
  <c r="I883" i="4"/>
  <c r="I758" i="4"/>
  <c r="H302" i="4"/>
  <c r="I302" i="4" s="1"/>
  <c r="I299" i="4"/>
  <c r="H517" i="4"/>
  <c r="I517" i="4" s="1"/>
  <c r="I516" i="4"/>
  <c r="H297" i="4"/>
  <c r="I297" i="4" s="1"/>
  <c r="H93" i="4"/>
  <c r="I93" i="4" s="1"/>
  <c r="H92" i="4"/>
  <c r="I92" i="4" s="1"/>
  <c r="I91" i="4"/>
  <c r="I514" i="4"/>
  <c r="H513" i="4"/>
  <c r="I513" i="4" s="1"/>
  <c r="I89" i="4"/>
  <c r="I512" i="4"/>
  <c r="I511" i="4"/>
  <c r="I510" i="4"/>
  <c r="I296" i="4"/>
  <c r="I88" i="4"/>
  <c r="I87" i="4"/>
  <c r="I635" i="4"/>
  <c r="H86" i="4"/>
  <c r="I86" i="4" s="1"/>
  <c r="I882" i="4"/>
  <c r="I295" i="4"/>
  <c r="J748" i="4" l="1"/>
  <c r="J743" i="4"/>
  <c r="H506" i="4"/>
  <c r="H508" i="4"/>
  <c r="I834" i="4"/>
  <c r="I833" i="4"/>
  <c r="I881" i="4"/>
  <c r="I880" i="4"/>
  <c r="I879" i="4"/>
  <c r="I878" i="4"/>
  <c r="I85" i="4"/>
  <c r="H634" i="4"/>
  <c r="I634" i="4" s="1"/>
  <c r="H633" i="4"/>
  <c r="I633" i="4" s="1"/>
  <c r="H632" i="4"/>
  <c r="I632" i="4" s="1"/>
  <c r="H631" i="4"/>
  <c r="I631" i="4" s="1"/>
  <c r="I630" i="4"/>
  <c r="H294" i="4"/>
  <c r="I294" i="4" s="1"/>
  <c r="H84" i="4"/>
  <c r="I84" i="4" s="1"/>
  <c r="H83" i="4"/>
  <c r="I83" i="4" s="1"/>
  <c r="I82" i="4"/>
  <c r="J293" i="4"/>
  <c r="H293" i="4"/>
  <c r="H81" i="4"/>
  <c r="I81" i="4" s="1"/>
  <c r="H180" i="4"/>
  <c r="I180" i="4" s="1"/>
  <c r="H80" i="4"/>
  <c r="I80" i="4" s="1"/>
  <c r="H509" i="4"/>
  <c r="H79" i="4"/>
  <c r="I79" i="4" s="1"/>
  <c r="H78" i="4"/>
  <c r="I78" i="4" s="1"/>
  <c r="H507" i="4"/>
  <c r="I77" i="4"/>
  <c r="H76" i="4"/>
  <c r="I76" i="4" s="1"/>
  <c r="H75" i="4"/>
  <c r="I75" i="4" s="1"/>
  <c r="G756" i="4"/>
  <c r="I756" i="4" s="1"/>
  <c r="G755" i="4"/>
  <c r="I755" i="4" s="1"/>
  <c r="G754" i="4"/>
  <c r="I753" i="4"/>
  <c r="I754" i="4" l="1"/>
  <c r="I509" i="4"/>
  <c r="I74" i="4"/>
  <c r="I71" i="4"/>
  <c r="I67" i="4"/>
  <c r="I66" i="4"/>
  <c r="H625" i="4"/>
  <c r="I625" i="4" s="1"/>
  <c r="J495" i="4"/>
  <c r="J267" i="4"/>
  <c r="J286" i="4"/>
  <c r="J210" i="4"/>
  <c r="I601" i="4"/>
  <c r="J35" i="4"/>
  <c r="J19" i="4"/>
  <c r="I1301" i="4"/>
  <c r="I1300" i="4"/>
  <c r="I508" i="4"/>
  <c r="I507" i="4"/>
  <c r="I506" i="4"/>
  <c r="J171" i="4"/>
  <c r="J606" i="4"/>
  <c r="J220" i="4"/>
  <c r="G621" i="4"/>
  <c r="G741" i="4" s="1"/>
  <c r="H179" i="4"/>
  <c r="I179" i="4" s="1"/>
  <c r="H178" i="4"/>
  <c r="I178" i="4" s="1"/>
  <c r="J553" i="4" l="1"/>
  <c r="J249" i="4"/>
  <c r="I621" i="4"/>
  <c r="I877" i="4"/>
  <c r="H629" i="4"/>
  <c r="I629" i="4" s="1"/>
  <c r="H628" i="4"/>
  <c r="I628" i="4" s="1"/>
  <c r="H627" i="4"/>
  <c r="I627" i="4" s="1"/>
  <c r="H626" i="4"/>
  <c r="I626" i="4" s="1"/>
  <c r="H624" i="4"/>
  <c r="H623" i="4"/>
  <c r="I623" i="4" s="1"/>
  <c r="H622" i="4"/>
  <c r="I622" i="4" s="1"/>
  <c r="I1365" i="4"/>
  <c r="I1364" i="4"/>
  <c r="I1362" i="4"/>
  <c r="I1299" i="4"/>
  <c r="I1298" i="4"/>
  <c r="I1297" i="4"/>
  <c r="I1296" i="4"/>
  <c r="I1295" i="4"/>
  <c r="I1294" i="4"/>
  <c r="I1293" i="4"/>
  <c r="I1292" i="4"/>
  <c r="I1291" i="4"/>
  <c r="I1290" i="4"/>
  <c r="I1289" i="4"/>
  <c r="I1288" i="4"/>
  <c r="I1287" i="4"/>
  <c r="I1286" i="4"/>
  <c r="I1285" i="4"/>
  <c r="I1284" i="4"/>
  <c r="I1283" i="4"/>
  <c r="I1282" i="4"/>
  <c r="H177" i="4"/>
  <c r="I177" i="4" s="1"/>
  <c r="I284" i="4"/>
  <c r="H72" i="4"/>
  <c r="I72" i="4" s="1"/>
  <c r="H70" i="4"/>
  <c r="I70" i="4" s="1"/>
  <c r="H176" i="4"/>
  <c r="I176" i="4" s="1"/>
  <c r="H69" i="4"/>
  <c r="I69" i="4" s="1"/>
  <c r="H175" i="4"/>
  <c r="I175" i="4" s="1"/>
  <c r="J68" i="4"/>
  <c r="G166" i="4"/>
  <c r="G153" i="4"/>
  <c r="G148" i="4"/>
  <c r="G147" i="4"/>
  <c r="I1366" i="4" l="1"/>
  <c r="I624" i="4"/>
  <c r="G149" i="4"/>
  <c r="G188" i="4" s="1"/>
  <c r="I872" i="4" l="1"/>
  <c r="I871" i="4"/>
  <c r="I870" i="4"/>
  <c r="I293" i="4" l="1"/>
  <c r="I869" i="4"/>
  <c r="I68" i="4"/>
  <c r="I64" i="4"/>
  <c r="I62" i="4"/>
  <c r="I61" i="4"/>
  <c r="I620" i="4"/>
  <c r="H619" i="4"/>
  <c r="I619" i="4" s="1"/>
  <c r="H618" i="4"/>
  <c r="I618" i="4" s="1"/>
  <c r="H617" i="4"/>
  <c r="I617" i="4" s="1"/>
  <c r="I616" i="4"/>
  <c r="I615" i="4"/>
  <c r="H60" i="4"/>
  <c r="I60" i="4" s="1"/>
  <c r="H59" i="4"/>
  <c r="I59" i="4" s="1"/>
  <c r="H292" i="4"/>
  <c r="I292" i="4" s="1"/>
  <c r="H58" i="4"/>
  <c r="I58" i="4" s="1"/>
  <c r="H57" i="4"/>
  <c r="I57" i="4" s="1"/>
  <c r="I55" i="4"/>
  <c r="H54" i="4"/>
  <c r="I54" i="4" s="1"/>
  <c r="H52" i="4"/>
  <c r="I52" i="4" s="1"/>
  <c r="I174" i="4"/>
  <c r="H223" i="4"/>
  <c r="I223" i="4" s="1"/>
  <c r="H222" i="4"/>
  <c r="I222" i="4" s="1"/>
  <c r="H51" i="4"/>
  <c r="I51" i="4" s="1"/>
  <c r="H173" i="4"/>
  <c r="I173" i="4" s="1"/>
  <c r="H50" i="4"/>
  <c r="I50" i="4" s="1"/>
  <c r="H49" i="4"/>
  <c r="I49" i="4" s="1"/>
  <c r="H48" i="4"/>
  <c r="I48" i="4" s="1"/>
  <c r="H47" i="4"/>
  <c r="I47" i="4" s="1"/>
  <c r="H46" i="4"/>
  <c r="I46" i="4" s="1"/>
  <c r="H505" i="4"/>
  <c r="I505" i="4" s="1"/>
  <c r="H45" i="4"/>
  <c r="G45" i="4"/>
  <c r="G138" i="4" s="1"/>
  <c r="H172" i="4"/>
  <c r="I172" i="4" s="1"/>
  <c r="J490" i="4"/>
  <c r="J212" i="4"/>
  <c r="J498" i="4" l="1"/>
  <c r="J552" i="4"/>
  <c r="J266" i="4"/>
  <c r="J475" i="4" s="1"/>
  <c r="I45" i="4"/>
  <c r="J7" i="4"/>
  <c r="J6" i="4"/>
  <c r="H606" i="4"/>
  <c r="H220" i="4"/>
  <c r="H171" i="4"/>
  <c r="H502" i="4"/>
  <c r="J36" i="4"/>
  <c r="H36" i="4"/>
  <c r="I36" i="4" s="1"/>
  <c r="H35" i="4"/>
  <c r="I35" i="4" s="1"/>
  <c r="J34" i="4"/>
  <c r="H34" i="4"/>
  <c r="G757" i="4"/>
  <c r="G787" i="4" s="1"/>
  <c r="G1258" i="4"/>
  <c r="G1261" i="4" s="1"/>
  <c r="G1278" i="4" s="1"/>
  <c r="H1258" i="4"/>
  <c r="I33" i="4"/>
  <c r="G1279" i="4" l="1"/>
  <c r="G1375" i="4" s="1"/>
  <c r="J5" i="4"/>
  <c r="J16" i="4"/>
  <c r="J209" i="4"/>
  <c r="J757" i="4"/>
  <c r="J787" i="4" s="1"/>
  <c r="J208" i="4"/>
  <c r="J1258" i="4"/>
  <c r="I220" i="4"/>
  <c r="I34" i="4"/>
  <c r="I606" i="4"/>
  <c r="I757" i="4"/>
  <c r="I787" i="4" s="1"/>
  <c r="I171" i="4"/>
  <c r="I502" i="4"/>
  <c r="I747" i="4"/>
  <c r="I608" i="4"/>
  <c r="I1257" i="4"/>
  <c r="I744" i="4"/>
  <c r="I39" i="4"/>
  <c r="I38" i="4"/>
  <c r="I1114" i="4"/>
  <c r="I1211" i="4" s="1"/>
  <c r="I1256" i="4"/>
  <c r="I1252" i="4"/>
  <c r="I1254" i="4" s="1"/>
  <c r="I607" i="4"/>
  <c r="I288" i="4"/>
  <c r="J228" i="4" l="1"/>
  <c r="I285" i="4"/>
  <c r="I283" i="4"/>
  <c r="H221" i="4"/>
  <c r="H1259" i="4"/>
  <c r="H1260" i="4"/>
  <c r="H504" i="4"/>
  <c r="H37" i="4"/>
  <c r="H1261" i="4" l="1"/>
  <c r="H1278" i="4" s="1"/>
  <c r="J1114" i="4"/>
  <c r="I1258" i="4"/>
  <c r="I1259" i="4"/>
  <c r="I37" i="4"/>
  <c r="I504" i="4"/>
  <c r="I1260" i="4"/>
  <c r="I221" i="4"/>
  <c r="J1276" i="4" l="1"/>
  <c r="I1261" i="4"/>
  <c r="I1278" i="4" s="1"/>
  <c r="I795" i="4"/>
  <c r="I831" i="4"/>
  <c r="I830" i="4"/>
  <c r="I829" i="4"/>
  <c r="I828" i="4"/>
  <c r="I827" i="4"/>
  <c r="I826" i="4"/>
  <c r="I825" i="4"/>
  <c r="I824" i="4"/>
  <c r="I821" i="4"/>
  <c r="I820" i="4"/>
  <c r="I819" i="4"/>
  <c r="I868" i="4"/>
  <c r="I867" i="4"/>
  <c r="I866" i="4"/>
  <c r="I861" i="4"/>
  <c r="I860" i="4"/>
  <c r="I859" i="4"/>
  <c r="I858" i="4"/>
  <c r="I857" i="4"/>
  <c r="I856" i="4"/>
  <c r="I855" i="4"/>
  <c r="I853" i="4"/>
  <c r="I851" i="4"/>
  <c r="I848" i="4"/>
  <c r="I847" i="4"/>
  <c r="I846" i="4"/>
  <c r="I845" i="4"/>
  <c r="I844" i="4"/>
  <c r="I843" i="4"/>
  <c r="I842" i="4"/>
  <c r="I841" i="4"/>
  <c r="I840" i="4"/>
  <c r="I839" i="4"/>
  <c r="I807" i="4"/>
  <c r="I806" i="4"/>
  <c r="I746" i="4"/>
  <c r="I794" i="4"/>
  <c r="I745" i="4"/>
  <c r="I802" i="4"/>
  <c r="I801" i="4"/>
  <c r="I815" i="4"/>
  <c r="I814" i="4"/>
  <c r="I800" i="4"/>
  <c r="I793" i="4"/>
  <c r="I813" i="4"/>
  <c r="I791" i="4"/>
  <c r="I602" i="4"/>
  <c r="I600" i="4"/>
  <c r="I598" i="4"/>
  <c r="I597" i="4"/>
  <c r="I596" i="4"/>
  <c r="I595" i="4"/>
  <c r="I594" i="4"/>
  <c r="I593" i="4"/>
  <c r="I592" i="4"/>
  <c r="I590" i="4"/>
  <c r="I587" i="4"/>
  <c r="I586" i="4"/>
  <c r="I585" i="4"/>
  <c r="I584" i="4"/>
  <c r="I583" i="4"/>
  <c r="I580" i="4"/>
  <c r="I579" i="4"/>
  <c r="I577" i="4"/>
  <c r="I564" i="4"/>
  <c r="I561" i="4"/>
  <c r="I555" i="4"/>
  <c r="I551" i="4"/>
  <c r="I550" i="4"/>
  <c r="I501" i="4"/>
  <c r="I500" i="4"/>
  <c r="I499" i="4"/>
  <c r="I494" i="4"/>
  <c r="I492" i="4"/>
  <c r="I491" i="4"/>
  <c r="I486" i="4"/>
  <c r="I484" i="4"/>
  <c r="I282" i="4"/>
  <c r="I281" i="4"/>
  <c r="I280" i="4"/>
  <c r="I277" i="4"/>
  <c r="I273" i="4"/>
  <c r="I260" i="4"/>
  <c r="I258" i="4"/>
  <c r="I257" i="4"/>
  <c r="I255" i="4"/>
  <c r="I252" i="4"/>
  <c r="I238" i="4"/>
  <c r="I237" i="4"/>
  <c r="I235" i="4"/>
  <c r="I233" i="4"/>
  <c r="I231" i="4"/>
  <c r="I214" i="4"/>
  <c r="I213" i="4"/>
  <c r="I212" i="4"/>
  <c r="I211" i="4"/>
  <c r="I210" i="4"/>
  <c r="I209" i="4"/>
  <c r="I208" i="4"/>
  <c r="I200" i="4"/>
  <c r="I199" i="4"/>
  <c r="I198" i="4"/>
  <c r="I197" i="4"/>
  <c r="I196" i="4"/>
  <c r="I195" i="4"/>
  <c r="I194" i="4"/>
  <c r="I193" i="4"/>
  <c r="I192" i="4"/>
  <c r="I168" i="4"/>
  <c r="I167" i="4"/>
  <c r="I164" i="4"/>
  <c r="I156" i="4"/>
  <c r="I155" i="4"/>
  <c r="I154" i="4"/>
  <c r="I32" i="4"/>
  <c r="I31" i="4"/>
  <c r="I30" i="4"/>
  <c r="I28" i="4"/>
  <c r="I26" i="4"/>
  <c r="I25" i="4"/>
  <c r="I23" i="4"/>
  <c r="I22" i="4"/>
  <c r="I21" i="4"/>
  <c r="I19" i="4"/>
  <c r="I18" i="4"/>
  <c r="I17" i="4"/>
  <c r="I16" i="4"/>
  <c r="I7" i="4"/>
  <c r="I15" i="4"/>
  <c r="I6" i="4"/>
  <c r="I5" i="4"/>
  <c r="I14" i="4"/>
  <c r="I13" i="4"/>
  <c r="I12" i="4"/>
  <c r="I11" i="4"/>
  <c r="I4" i="4"/>
  <c r="I990" i="4" l="1"/>
  <c r="J1278" i="4"/>
  <c r="I816" i="4"/>
  <c r="H165" i="4" l="1"/>
  <c r="I165" i="4" s="1"/>
  <c r="H495" i="4" l="1"/>
  <c r="I495" i="4" s="1"/>
  <c r="H498" i="4" l="1"/>
  <c r="I498" i="4" s="1"/>
  <c r="H497" i="4"/>
  <c r="I497" i="4" s="1"/>
  <c r="H278" i="4"/>
  <c r="I278" i="4" s="1"/>
  <c r="H578" i="4"/>
  <c r="I578" i="4" s="1"/>
  <c r="H576" i="4"/>
  <c r="I576" i="4" s="1"/>
  <c r="H170" i="4"/>
  <c r="I170" i="4" s="1"/>
  <c r="H575" i="4"/>
  <c r="I575" i="4" s="1"/>
  <c r="H574" i="4"/>
  <c r="I574" i="4" s="1"/>
  <c r="H573" i="4"/>
  <c r="I573" i="4" s="1"/>
  <c r="H572" i="4"/>
  <c r="I572" i="4" s="1"/>
  <c r="H571" i="4"/>
  <c r="I571" i="4" s="1"/>
  <c r="H570" i="4"/>
  <c r="I570" i="4" s="1"/>
  <c r="H569" i="4"/>
  <c r="I569" i="4" s="1"/>
  <c r="H568" i="4"/>
  <c r="I568" i="4" s="1"/>
  <c r="H567" i="4"/>
  <c r="I567" i="4" s="1"/>
  <c r="H566" i="4"/>
  <c r="I566" i="4" s="1"/>
  <c r="H496" i="4"/>
  <c r="I496" i="4" s="1"/>
  <c r="H216" i="4"/>
  <c r="I216" i="4" s="1"/>
  <c r="H493" i="4"/>
  <c r="I493" i="4" s="1"/>
  <c r="H490" i="4"/>
  <c r="I490" i="4" s="1"/>
  <c r="H153" i="4"/>
  <c r="I153" i="4" s="1"/>
  <c r="H272" i="4"/>
  <c r="I272" i="4" s="1"/>
  <c r="H29" i="4"/>
  <c r="I29" i="4" s="1"/>
  <c r="H276" i="4"/>
  <c r="I276" i="4" s="1"/>
  <c r="H169" i="4"/>
  <c r="I169" i="4" s="1"/>
  <c r="H166" i="4" l="1"/>
  <c r="H489" i="4"/>
  <c r="I489" i="4" s="1"/>
  <c r="H27" i="4"/>
  <c r="I27" i="4" s="1"/>
  <c r="H271" i="4"/>
  <c r="I271" i="4" s="1"/>
  <c r="H488" i="4"/>
  <c r="I488" i="4" s="1"/>
  <c r="H152" i="4"/>
  <c r="I152" i="4" s="1"/>
  <c r="H151" i="4"/>
  <c r="I151" i="4" s="1"/>
  <c r="H487" i="4"/>
  <c r="I487" i="4" s="1"/>
  <c r="H148" i="4"/>
  <c r="I148" i="4" s="1"/>
  <c r="H147" i="4"/>
  <c r="I147" i="4" s="1"/>
  <c r="I166" i="4" l="1"/>
  <c r="I149" i="4"/>
  <c r="H485" i="4"/>
  <c r="I485" i="4" s="1"/>
  <c r="H24" i="4"/>
  <c r="I24" i="4" s="1"/>
  <c r="H589" i="4"/>
  <c r="I589" i="4" s="1"/>
  <c r="H146" i="4"/>
  <c r="I146" i="4" s="1"/>
  <c r="H145" i="4"/>
  <c r="I145" i="4" s="1"/>
  <c r="J588" i="4"/>
  <c r="H588" i="4"/>
  <c r="I588" i="4" s="1"/>
  <c r="J480" i="4" l="1"/>
  <c r="J543" i="4" l="1"/>
  <c r="I1281" i="4" l="1"/>
  <c r="I1360" i="4" s="1"/>
  <c r="H805" i="4"/>
  <c r="I805" i="4" s="1"/>
  <c r="H804" i="4"/>
  <c r="I804" i="4" s="1"/>
  <c r="H803" i="4"/>
  <c r="I803" i="4" s="1"/>
  <c r="H818" i="4"/>
  <c r="H837" i="4" s="1"/>
  <c r="H560" i="4"/>
  <c r="I560" i="4" s="1"/>
  <c r="H559" i="4"/>
  <c r="I559" i="4" s="1"/>
  <c r="H558" i="4"/>
  <c r="I558" i="4" s="1"/>
  <c r="H792" i="4"/>
  <c r="I792" i="4" s="1"/>
  <c r="H799" i="4"/>
  <c r="H790" i="4"/>
  <c r="H557" i="4"/>
  <c r="I557" i="4" s="1"/>
  <c r="H556" i="4"/>
  <c r="I556" i="4" s="1"/>
  <c r="H554" i="4"/>
  <c r="I554" i="4" s="1"/>
  <c r="H287" i="4"/>
  <c r="H289" i="4"/>
  <c r="H251" i="4"/>
  <c r="I251" i="4" s="1"/>
  <c r="H250" i="4"/>
  <c r="I250" i="4" s="1"/>
  <c r="H249" i="4"/>
  <c r="I249" i="4" s="1"/>
  <c r="H286" i="4"/>
  <c r="H743" i="4"/>
  <c r="H748" i="4" s="1"/>
  <c r="H162" i="4"/>
  <c r="I162" i="4" s="1"/>
  <c r="H270" i="4"/>
  <c r="I270" i="4" s="1"/>
  <c r="H248" i="4"/>
  <c r="I248" i="4" s="1"/>
  <c r="H247" i="4"/>
  <c r="I247" i="4" s="1"/>
  <c r="H246" i="4"/>
  <c r="I246" i="4" s="1"/>
  <c r="H245" i="4"/>
  <c r="I245" i="4" s="1"/>
  <c r="H244" i="4"/>
  <c r="I244" i="4" s="1"/>
  <c r="H243" i="4"/>
  <c r="I243" i="4" s="1"/>
  <c r="H242" i="4"/>
  <c r="I242" i="4" s="1"/>
  <c r="H241" i="4"/>
  <c r="I241" i="4" s="1"/>
  <c r="H240" i="4"/>
  <c r="I240" i="4" s="1"/>
  <c r="H239" i="4"/>
  <c r="I239" i="4" s="1"/>
  <c r="H207" i="4"/>
  <c r="I207" i="4" s="1"/>
  <c r="H206" i="4"/>
  <c r="I206" i="4" s="1"/>
  <c r="H205" i="4"/>
  <c r="I205" i="4" s="1"/>
  <c r="H204" i="4"/>
  <c r="I204" i="4" s="1"/>
  <c r="H161" i="4"/>
  <c r="I161" i="4" s="1"/>
  <c r="H160" i="4"/>
  <c r="I160" i="4" s="1"/>
  <c r="H159" i="4"/>
  <c r="I159" i="4" s="1"/>
  <c r="H269" i="4"/>
  <c r="I269" i="4" s="1"/>
  <c r="H268" i="4"/>
  <c r="I268" i="4" s="1"/>
  <c r="H267" i="4"/>
  <c r="I267" i="4" s="1"/>
  <c r="H266" i="4"/>
  <c r="I266" i="4" s="1"/>
  <c r="H265" i="4"/>
  <c r="I265" i="4" s="1"/>
  <c r="H264" i="4"/>
  <c r="I264" i="4" s="1"/>
  <c r="H263" i="4"/>
  <c r="I263" i="4" s="1"/>
  <c r="H262" i="4"/>
  <c r="I262" i="4" s="1"/>
  <c r="H261" i="4"/>
  <c r="I261" i="4" s="1"/>
  <c r="H553" i="4"/>
  <c r="I553" i="4" s="1"/>
  <c r="H552" i="4"/>
  <c r="I552" i="4" s="1"/>
  <c r="H157" i="4"/>
  <c r="I157" i="4" s="1"/>
  <c r="H259" i="4"/>
  <c r="I259" i="4" s="1"/>
  <c r="H797" i="4" l="1"/>
  <c r="H811" i="4"/>
  <c r="I799" i="4"/>
  <c r="I811" i="4" s="1"/>
  <c r="I818" i="4"/>
  <c r="I837" i="4" s="1"/>
  <c r="I743" i="4"/>
  <c r="I748" i="4" s="1"/>
  <c r="I286" i="4"/>
  <c r="I287" i="4"/>
  <c r="I289" i="4"/>
  <c r="I790" i="4"/>
  <c r="I797" i="4" s="1"/>
  <c r="H612" i="4" l="1"/>
  <c r="H549" i="4"/>
  <c r="I549" i="4" s="1"/>
  <c r="H219" i="4"/>
  <c r="I219" i="4" s="1"/>
  <c r="H548" i="4"/>
  <c r="I548" i="4" s="1"/>
  <c r="H547" i="4"/>
  <c r="I547" i="4" s="1"/>
  <c r="H546" i="4"/>
  <c r="I546" i="4" s="1"/>
  <c r="H545" i="4"/>
  <c r="J741" i="4" l="1"/>
  <c r="J607" i="4"/>
  <c r="J547" i="4"/>
  <c r="I612" i="4"/>
  <c r="I545" i="4"/>
  <c r="H609" i="4"/>
  <c r="H483" i="4"/>
  <c r="I483" i="4" s="1"/>
  <c r="H275" i="4"/>
  <c r="I275" i="4" s="1"/>
  <c r="H274" i="4"/>
  <c r="I274" i="4" s="1"/>
  <c r="H599" i="4"/>
  <c r="I599" i="4" s="1"/>
  <c r="H480" i="4"/>
  <c r="I477" i="4"/>
  <c r="H218" i="4"/>
  <c r="I218" i="4" s="1"/>
  <c r="H217" i="4"/>
  <c r="I217" i="4" s="1"/>
  <c r="H236" i="4"/>
  <c r="I236" i="4" s="1"/>
  <c r="H234" i="4"/>
  <c r="I234" i="4" s="1"/>
  <c r="H503" i="4"/>
  <c r="H232" i="4"/>
  <c r="H203" i="4"/>
  <c r="I203" i="4" s="1"/>
  <c r="H202" i="4"/>
  <c r="I202" i="4" s="1"/>
  <c r="H201" i="4"/>
  <c r="H142" i="4"/>
  <c r="I142" i="4" s="1"/>
  <c r="H141" i="4"/>
  <c r="H10" i="4"/>
  <c r="H138" i="4" s="1"/>
  <c r="H582" i="4"/>
  <c r="I582" i="4" s="1"/>
  <c r="H581" i="4"/>
  <c r="H741" i="4" l="1"/>
  <c r="H543" i="4"/>
  <c r="H188" i="4"/>
  <c r="H228" i="4"/>
  <c r="J138" i="4"/>
  <c r="J10" i="4"/>
  <c r="I581" i="4"/>
  <c r="I503" i="4"/>
  <c r="I609" i="4"/>
  <c r="I141" i="4"/>
  <c r="I10" i="4"/>
  <c r="I138" i="4" s="1"/>
  <c r="I232" i="4"/>
  <c r="I480" i="4"/>
  <c r="I201" i="4"/>
  <c r="I228" i="4" s="1"/>
  <c r="I741" i="4" l="1"/>
  <c r="I543" i="4"/>
  <c r="H256" i="4"/>
  <c r="I256" i="4" s="1"/>
  <c r="H254" i="4"/>
  <c r="H475" i="4" l="1"/>
  <c r="H1279" i="4" s="1"/>
  <c r="I254" i="4"/>
  <c r="I230" i="4"/>
  <c r="I140" i="4"/>
  <c r="I188" i="4" s="1"/>
  <c r="I3" i="4"/>
  <c r="I8" i="4" s="1"/>
  <c r="I475" i="4" l="1"/>
  <c r="I1279" i="4" s="1"/>
  <c r="J1279" i="4"/>
  <c r="J140" i="4"/>
  <c r="H1375" i="4"/>
  <c r="J188" i="4" l="1"/>
  <c r="J1375" i="4" l="1"/>
  <c r="I137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135" authorId="0" shapeId="0" xr:uid="{D8D99EFD-BAE0-4729-91B7-0BF704752DC5}">
      <text>
        <r>
          <rPr>
            <b/>
            <sz val="9"/>
            <color indexed="81"/>
            <rFont val="Tahoma"/>
            <family val="2"/>
          </rPr>
          <t>user:</t>
        </r>
        <r>
          <rPr>
            <sz val="9"/>
            <color indexed="81"/>
            <rFont val="Tahoma"/>
            <family val="2"/>
          </rPr>
          <t xml:space="preserve">
210 ltd tranfer to Stores
Amount Rs.28980
 </t>
        </r>
      </text>
    </comment>
    <comment ref="G191" authorId="0" shapeId="0" xr:uid="{AD12E066-5EE8-42DB-B5D3-D0CA4A9F279A}">
      <text>
        <r>
          <rPr>
            <b/>
            <sz val="9"/>
            <color indexed="81"/>
            <rFont val="Tahoma"/>
            <family val="2"/>
          </rPr>
          <t>user:</t>
        </r>
        <r>
          <rPr>
            <sz val="9"/>
            <color indexed="81"/>
            <rFont val="Tahoma"/>
            <family val="2"/>
          </rPr>
          <t xml:space="preserve">
Entry in Tally 49172/- Non-Eligible GST Dated-31/12/2021 WIP Plant &amp; Machinery</t>
        </r>
      </text>
    </comment>
    <comment ref="G751" authorId="0" shapeId="0" xr:uid="{D6D8D1D0-AE2E-4B30-B4F1-8347DB431FF4}">
      <text>
        <r>
          <rPr>
            <b/>
            <sz val="9"/>
            <color indexed="81"/>
            <rFont val="Tahoma"/>
            <family val="2"/>
          </rPr>
          <t>user:</t>
        </r>
        <r>
          <rPr>
            <sz val="9"/>
            <color indexed="81"/>
            <rFont val="Tahoma"/>
            <family val="2"/>
          </rPr>
          <t xml:space="preserve">
Entry in Tally 49172/- Non-Eligible GST Dated-31/12/2023 WIP Plant &amp; Machinery</t>
        </r>
      </text>
    </comment>
    <comment ref="G1210" authorId="0" shapeId="0" xr:uid="{C86F7CC4-364F-4CAD-9E69-45CC5C978DD0}">
      <text>
        <r>
          <rPr>
            <b/>
            <sz val="9"/>
            <color indexed="81"/>
            <rFont val="Tahoma"/>
            <family val="2"/>
          </rPr>
          <t>user:</t>
        </r>
        <r>
          <rPr>
            <sz val="9"/>
            <color indexed="81"/>
            <rFont val="Tahoma"/>
            <family val="2"/>
          </rPr>
          <t xml:space="preserve">
GST not Eligible in Book but not transfer to WIP</t>
        </r>
      </text>
    </comment>
  </commentList>
</comments>
</file>

<file path=xl/sharedStrings.xml><?xml version="1.0" encoding="utf-8"?>
<sst xmlns="http://schemas.openxmlformats.org/spreadsheetml/2006/main" count="4966" uniqueCount="2193">
  <si>
    <t>Sr. No.</t>
  </si>
  <si>
    <t>Invoice Date</t>
  </si>
  <si>
    <t>Invoice No.</t>
  </si>
  <si>
    <t>Supplier (Party Name)</t>
  </si>
  <si>
    <t>Basic Amount</t>
  </si>
  <si>
    <t>GST</t>
  </si>
  <si>
    <t>Total Amount</t>
  </si>
  <si>
    <t>Advance</t>
  </si>
  <si>
    <t>68/2021-22</t>
  </si>
  <si>
    <t>Surface, Gland Condenser &amp; Steam Jet Ejector</t>
  </si>
  <si>
    <t>69/2021-22</t>
  </si>
  <si>
    <t>Alternator with AVR</t>
  </si>
  <si>
    <t>KES/021/22-23</t>
  </si>
  <si>
    <t>Control &amp; Instrumentation with Inlet Flow Meter</t>
  </si>
  <si>
    <t>KES/027/22-23</t>
  </si>
  <si>
    <t>Steam Turbine on Base Plate with Accessories</t>
  </si>
  <si>
    <t>KES/039/22-23</t>
  </si>
  <si>
    <t>Governing System</t>
  </si>
  <si>
    <t>KES/044/2022-23</t>
  </si>
  <si>
    <t>Battery &amp; Battery Charger</t>
  </si>
  <si>
    <t>KES/043/2022-23</t>
  </si>
  <si>
    <t>Forced Lubrication System</t>
  </si>
  <si>
    <t>KES/004/22-23</t>
  </si>
  <si>
    <t>Oil Centrifuge</t>
  </si>
  <si>
    <t>KES/022/22-23</t>
  </si>
  <si>
    <t>Electrical Panels (Turbine)</t>
  </si>
  <si>
    <t>CC/HPML/21-22/01</t>
  </si>
  <si>
    <t xml:space="preserve">Machine Foundation Work </t>
  </si>
  <si>
    <t>CC/HPML/21-22/02</t>
  </si>
  <si>
    <t>Civil Work for Foundation and Panel Work</t>
  </si>
  <si>
    <t>TURBINE</t>
  </si>
  <si>
    <t>INV/21-22/296</t>
  </si>
  <si>
    <t>S.V. Traders</t>
  </si>
  <si>
    <t>SAL/BNG/1367/21-22</t>
  </si>
  <si>
    <t>Carriage Inward (FRT for Kessels Engineering material)</t>
  </si>
  <si>
    <t>Surya Aarti Logistics</t>
  </si>
  <si>
    <t>Shiv Freight Carrier</t>
  </si>
  <si>
    <t>FSI/2021-22/0485</t>
  </si>
  <si>
    <t>MS Plate HR 10mm  (Turbine House Insert Plate)</t>
  </si>
  <si>
    <t>Future Steel Industries</t>
  </si>
  <si>
    <t>FSI/2021-22/0500</t>
  </si>
  <si>
    <t>PM Plate 25mm / MS Joist (Beam) 300x140 / MS Channel 100x50 / (for Pressure Screen)</t>
  </si>
  <si>
    <t>Summit Agencies</t>
  </si>
  <si>
    <t>PANCHSHEEL TRADING CORPN</t>
  </si>
  <si>
    <t>Steel Seamless Tube 44.50x4.06 H SA 213 GR.T-11 MSL</t>
  </si>
  <si>
    <t>Motilal Laxmichand Sanghavi</t>
  </si>
  <si>
    <t>Chaitanya Construction</t>
  </si>
  <si>
    <t>Cooling Tower</t>
  </si>
  <si>
    <t>SFE20212541</t>
  </si>
  <si>
    <t>Parts of Cooling Towers</t>
  </si>
  <si>
    <t>Paharpur Cooling Towers LTD</t>
  </si>
  <si>
    <t>Ash Handling Plant</t>
  </si>
  <si>
    <t>FSI/2021-22/0510</t>
  </si>
  <si>
    <t>MS Plate MS Joist(Beam)</t>
  </si>
  <si>
    <t>FSI/2021-22/0511</t>
  </si>
  <si>
    <t>MS Joist(Beam) MS Angle MS Channel MS Flat MS Plat</t>
  </si>
  <si>
    <t>FSI/2021-22/0513</t>
  </si>
  <si>
    <t>MS Channel MS Plate MS Tube MS Chequered Plate (for Boiler Ash Handling Plant)</t>
  </si>
  <si>
    <t>FSI/2021-22/0601</t>
  </si>
  <si>
    <t>MS Plate</t>
  </si>
  <si>
    <t>GST-424</t>
  </si>
  <si>
    <t>Ash Conditioner,Terminal Boxes MS Pipe Bends (for Boiler Ash Silo Project)</t>
  </si>
  <si>
    <t>Global Technologies</t>
  </si>
  <si>
    <t>GST-425</t>
  </si>
  <si>
    <t>Surge Hopper &amp; Binvent with Internals for Ash Hdnli (for Boiler Ash Silo Project)</t>
  </si>
  <si>
    <t>Seal Kit / Foundation Bolt with Nut &amp; Washer (for Ash Silo Foundation)</t>
  </si>
  <si>
    <t>Foundation Bolt with 2 Nut &amp; 2 Washer 24x750 / Hydraulic Connector With Nut &amp; Ferrule Both End (for Ash Silo Foundation)</t>
  </si>
  <si>
    <t>Hansraj Hydra for Hydra Work Ash Silo Structure Work</t>
  </si>
  <si>
    <t>Shri Joshi</t>
  </si>
  <si>
    <t>Hydra Work for Coal Ash Handling Plant Loha &amp; Driver Exp</t>
  </si>
  <si>
    <t>Shri Balpande</t>
  </si>
  <si>
    <t>Boiler Modification</t>
  </si>
  <si>
    <t>FSI/2021-22/0276</t>
  </si>
  <si>
    <t>FSI/2021-22/0277</t>
  </si>
  <si>
    <t>Air Fan PA Fan Type-SISW 1440 RPM</t>
  </si>
  <si>
    <t>Air Fans, Pune</t>
  </si>
  <si>
    <t>Centrifugal Blower 1440 Rpm</t>
  </si>
  <si>
    <t>5" Mixing Nozzle Assembly CI.GR20+N.I.Hard (for PA Line Boiler)</t>
  </si>
  <si>
    <t>H Power Associates</t>
  </si>
  <si>
    <t>Big Hydra Charges for Boiler</t>
  </si>
  <si>
    <t xml:space="preserve">Giridhar Namdeorao Balpande </t>
  </si>
  <si>
    <t>Others</t>
  </si>
  <si>
    <t>GST-386</t>
  </si>
  <si>
    <t>Bucket Elevator 250 x 100 x 160 x 3.15mm (For Boiler Coal Handling Plant)</t>
  </si>
  <si>
    <t>Applied Electrostatics And Controls P.Ltd.</t>
  </si>
  <si>
    <t>6"x300# Gate Valve F/E Gr.WCB / 12"x150# Gate Valve F/E Gr.WCB / 1/2"x800# Gate Valve S/W Gr.A105 / 8"x150# Gate Valve F/E Gr. WCB</t>
  </si>
  <si>
    <t>Sigma Industries</t>
  </si>
  <si>
    <t>SE93</t>
  </si>
  <si>
    <t>Crain Capacity 6Ton Span 6.60mtrx12mtr Lift / Pvc Shrouded Bus Bar 19mtr Long with Assembly / Crain Beam Rail 50x40mm Rect Bar 19mtr Each Side</t>
  </si>
  <si>
    <t>Supreme Elmech Pvt. Ltd.</t>
  </si>
  <si>
    <t>Freight for Thyristoresed APFC Panel 300 KVAR from Goenka Switchgears</t>
  </si>
  <si>
    <t>A.V. Roadlines</t>
  </si>
  <si>
    <t>61</t>
  </si>
  <si>
    <t>F. D. Fan (AirFan) 1800 Rpm Efficiency-65%</t>
  </si>
  <si>
    <t>62</t>
  </si>
  <si>
    <t>I. D. Fan (AirFan) 900 Rpm Efficiency-65%</t>
  </si>
  <si>
    <t>63</t>
  </si>
  <si>
    <t>P. A. Fan (AirFan) 900 Rpm Efficiency-65%</t>
  </si>
  <si>
    <t>64</t>
  </si>
  <si>
    <t>P. A. Fan (AirFan) Impeller Sutable 20HP/2880</t>
  </si>
  <si>
    <t>65</t>
  </si>
  <si>
    <t>Transportation Chgs for FD, ID &amp; PA Fan</t>
  </si>
  <si>
    <t>De Superheated Station</t>
  </si>
  <si>
    <t>Ari Armaturen Steamline LLP,Pune</t>
  </si>
  <si>
    <t>GC No. 2218903014</t>
  </si>
  <si>
    <t>Freight for De Superheater Station from Ari Armaturen Steamline</t>
  </si>
  <si>
    <t>Avinash Cargo Pvt. Ltd.</t>
  </si>
  <si>
    <t>TRS 59/22-23</t>
  </si>
  <si>
    <t>Freight for Crain Material from Supreme Elemech</t>
  </si>
  <si>
    <t>Elegant Express Courier</t>
  </si>
  <si>
    <t>FSI/2022-23/0068</t>
  </si>
  <si>
    <t>MS Tube RHS 60x60x4.8mm (for Power Plant Cable Tray)</t>
  </si>
  <si>
    <t>FSI/2022-23/0204</t>
  </si>
  <si>
    <t>MS Chequred Plate 05mm</t>
  </si>
  <si>
    <t>22GBI0469</t>
  </si>
  <si>
    <t>MS Pipe ERW C Class 5"(125mm) PA Air Line</t>
  </si>
  <si>
    <t>Indocast Industries</t>
  </si>
  <si>
    <t>Safety Valve 80NBx40NB IBR</t>
  </si>
  <si>
    <t>Marko Steamjet P. Ltd</t>
  </si>
  <si>
    <t xml:space="preserve">Steel Tube </t>
  </si>
  <si>
    <t xml:space="preserve">SS ERW Pipe </t>
  </si>
  <si>
    <t>034/S/2022-23</t>
  </si>
  <si>
    <t>SS Round/Angle/Channel/Bright Bar 12Dia / SS CR Coil/Flate 5x8</t>
  </si>
  <si>
    <t>035/S/2022-23</t>
  </si>
  <si>
    <t>SS CR Coil/Flate 25x5</t>
  </si>
  <si>
    <t>052/S/2022-23</t>
  </si>
  <si>
    <t>CS Plate Blind Size 200mm (8") / Ring Gasket Spiral Wound SS-304</t>
  </si>
  <si>
    <t>050/S/2022-23</t>
  </si>
  <si>
    <t>051/S/2022-23</t>
  </si>
  <si>
    <t>064/W/2022-23</t>
  </si>
  <si>
    <t>065/W/2022-23</t>
  </si>
  <si>
    <t>066/W/2022-23</t>
  </si>
  <si>
    <t xml:space="preserve">08/S/2022-23 </t>
  </si>
  <si>
    <t>Labour Charges for Shifting of Ash Shilo</t>
  </si>
  <si>
    <t>011/S/2022-23</t>
  </si>
  <si>
    <t>019/S/2022-23</t>
  </si>
  <si>
    <t>Labour Charges for Shifting Cable Tray</t>
  </si>
  <si>
    <t>Labour Chgs. Fabrication &amp; Erection of Strucher Work (Cable Tray) Complete work as per Drawing</t>
  </si>
  <si>
    <t>04/W/2022-23</t>
  </si>
  <si>
    <t>Economizer Coil for Boiler No. MR/16449 (for Expan Boiler Work)</t>
  </si>
  <si>
    <t>03/W/2022-23</t>
  </si>
  <si>
    <t>Bed Outer Coil with Studs Carbon Steel / Bed Inner Coil Without Studs</t>
  </si>
  <si>
    <t>05/S/2022-23</t>
  </si>
  <si>
    <t>MS Tube / MS Plate</t>
  </si>
  <si>
    <t>09/S/2022-23</t>
  </si>
  <si>
    <t>NAV DURGA BOILER &amp; EQUIPMENTS P. LTD.</t>
  </si>
  <si>
    <t xml:space="preserve">049/S/2022-23 </t>
  </si>
  <si>
    <t xml:space="preserve">Labour Charges Refractory Work for Boiler </t>
  </si>
  <si>
    <t>027/S/2022-23</t>
  </si>
  <si>
    <t>X2/1474/22-23</t>
  </si>
  <si>
    <t>GI Earthing Strip (Earthing Work Power Plant Project)</t>
  </si>
  <si>
    <t>PUNJAB MACHINE TOOLS</t>
  </si>
  <si>
    <t xml:space="preserve"> HO/1043/22-23</t>
  </si>
  <si>
    <t>GI Earthing Strip 25mmx5mm</t>
  </si>
  <si>
    <t>RDC/22-23/013</t>
  </si>
  <si>
    <t>Crane Working Charges for Erection of Turbine &amp; Attached Equipment</t>
  </si>
  <si>
    <t>R. D. Cranes</t>
  </si>
  <si>
    <t xml:space="preserve"> Freight for SS &amp; GI Tube from Motilal Laxmichand Sanghavi</t>
  </si>
  <si>
    <t>Rapid Transport Co.</t>
  </si>
  <si>
    <t>2022-23/068</t>
  </si>
  <si>
    <t>CI Butterfly Valve 2",8'', 10'', 12'', 14'' SS Disc</t>
  </si>
  <si>
    <t>S. S. Traders</t>
  </si>
  <si>
    <t>2022-23/166</t>
  </si>
  <si>
    <t>CI Butterfly Valve 14" SS Disc</t>
  </si>
  <si>
    <t>2022-23/261</t>
  </si>
  <si>
    <t>152</t>
  </si>
  <si>
    <t>Freight for Panel Material from Kessel Engg. less tds @1%</t>
  </si>
  <si>
    <t>157</t>
  </si>
  <si>
    <t>Freight for Turbine &amp; Gear Box Material Gr No. 851 Lr.no. RJ48GH1226 less tds @1%</t>
  </si>
  <si>
    <t>Freight for Forced Lubrication System from Kessels Engg.</t>
  </si>
  <si>
    <t>22015250125251</t>
  </si>
  <si>
    <t>Courier Chgs. for Governing System from Kessels Engg.</t>
  </si>
  <si>
    <t>Shree Maruti Courier</t>
  </si>
  <si>
    <t>Crain Work New Transformer Unloading &amp; Shed Wrok</t>
  </si>
  <si>
    <t xml:space="preserve"> Crain Work New Transformer Unloading</t>
  </si>
  <si>
    <t>CNS No. 340915960</t>
  </si>
  <si>
    <t>Freight for Nozzle Assembly from H Power Associates</t>
  </si>
  <si>
    <t>TCI Frieght</t>
  </si>
  <si>
    <t>187/22-23</t>
  </si>
  <si>
    <t>Freight for Battery &amp; Battery Charger from Kessels Engineering</t>
  </si>
  <si>
    <t>Ujjwal Freight</t>
  </si>
  <si>
    <t>22GBI2052</t>
  </si>
  <si>
    <t>Forged Carbon Steel Elbow 14" (for MCW Pump Suction Line Cooling Tower)</t>
  </si>
  <si>
    <t>22GBI0336</t>
  </si>
  <si>
    <t>MS Pipe ERW 14" (for MCW Pump Suction Line Cooling Tower)</t>
  </si>
  <si>
    <t>Spares for Ash Handling System</t>
  </si>
  <si>
    <t>00014/22-23</t>
  </si>
  <si>
    <t>Crane Hiring for Silo Shifting</t>
  </si>
  <si>
    <t>Just Cranes Inc</t>
  </si>
  <si>
    <t xml:space="preserve">00015/22-23 </t>
  </si>
  <si>
    <t>PTC/22-23/00032</t>
  </si>
  <si>
    <t>Paint /  Brush</t>
  </si>
  <si>
    <t>PTC/22-23/00192</t>
  </si>
  <si>
    <t>Paint SM Grey Industrial 20Ltr / Industrial Reducer 20 Ltr.</t>
  </si>
  <si>
    <t>PTC/22-23/00274</t>
  </si>
  <si>
    <t>Paint SM / Industrial Reducer</t>
  </si>
  <si>
    <t>WH-55/22-23</t>
  </si>
  <si>
    <t>Paint SM Gry-G PGE 4 Ltr. Ash silo work</t>
  </si>
  <si>
    <t>Hydra Work for Cable Tray Shifting Work</t>
  </si>
  <si>
    <t xml:space="preserve">Shri Balpande </t>
  </si>
  <si>
    <t>Hydra Work for Electrical Cable Tray Work</t>
  </si>
  <si>
    <t>Hydra Work &amp; Driver Bhata up &amp; Down for cable Tray Work</t>
  </si>
  <si>
    <t xml:space="preserve">Shri Hariraj </t>
  </si>
  <si>
    <t>Hydra Work Bhata, Up &amp; Down Exp</t>
  </si>
  <si>
    <t>SE22FY-0004</t>
  </si>
  <si>
    <t>Hex Head Screw with Nut 16x75 / Hex Head Screw with Nut 16x50 (Ash Silo Work)</t>
  </si>
  <si>
    <t>Summit Enterprise</t>
  </si>
  <si>
    <t>MS Nipple Long / MS Flange / MS B/W Elbow for Ash Handling System</t>
  </si>
  <si>
    <t>United  Pipe Traders</t>
  </si>
  <si>
    <t>10539/2223</t>
  </si>
  <si>
    <t>Foundation Bolt Nut Washer 20x1.1/2 Ft</t>
  </si>
  <si>
    <t>Agrawal Fasteners</t>
  </si>
  <si>
    <t>FSI/2022-23/0001</t>
  </si>
  <si>
    <t>22GBI0917</t>
  </si>
  <si>
    <t>CS  Globe Valve (Stop) 11/2"</t>
  </si>
  <si>
    <t>5" Mixing Nozzle Assembly CI.GR20+N.I.Hard</t>
  </si>
  <si>
    <t>22GBI0091</t>
  </si>
  <si>
    <t>MS Pipe ERW C Class 5"(125mm) (for Boiler Wind Box Coal Nozzle &amp; PA Line)</t>
  </si>
  <si>
    <t>IBL-G-2223-0350</t>
  </si>
  <si>
    <t>Boiler Parts - Nozzle SS 3 Hole with MS Nut (for Boiler Wind Box)</t>
  </si>
  <si>
    <t>Industrial Boilers Limited</t>
  </si>
  <si>
    <t>MH/3674/22-23</t>
  </si>
  <si>
    <t>Motor CGL TEFC SQ CAGE 110KW/150HP 4 POLE F-MNTG / Motor CGL TEFC SQ CAGE 15KW/20HP 2 POLE F-MNTG</t>
  </si>
  <si>
    <t>Makharia Machineries Pvt. Ltd.</t>
  </si>
  <si>
    <t>HO/0148/22-23</t>
  </si>
  <si>
    <t>Thermocouple Compensating K Type Cable</t>
  </si>
  <si>
    <t>HO/0151/22-23</t>
  </si>
  <si>
    <t>X2/1473/22-23</t>
  </si>
  <si>
    <t>GI Electrode / Iron Chamber Cover KG Plant / Bentonite Power (25Kg) for Earthing</t>
  </si>
  <si>
    <t>Boiler Consultation Chgs</t>
  </si>
  <si>
    <t>Shri Chopra Saheb</t>
  </si>
  <si>
    <t>Crain for Boiler Table Tray Shifting</t>
  </si>
  <si>
    <t>Shri Dipak Sharma</t>
  </si>
  <si>
    <t>GI Socket 2" x 11/2" / GI Elbow 2" / GI Tee 2" / GI Flange 2" / CI Plug 2" / GI Nipple 2"x12" / GI Nipple 2"x6" / Zoloto Forge Ball Valve 2" / Cpvc Pipe 1/2" SDR-11 / Cpvc Coupling 1/2" / Cpvc Elbow 90 Deg 1/2" (Air Line New Received to Boiler / TG)</t>
  </si>
  <si>
    <t>Galv Steel Tube 2" (Air Line New Received to Boiler / TG)</t>
  </si>
  <si>
    <t>Water Treatment Plant</t>
  </si>
  <si>
    <t>for Water Treatment Plant Foundation Work</t>
  </si>
  <si>
    <t>INVDM2223000459</t>
  </si>
  <si>
    <t>WTE Infra Projects Pvt. Ltd.</t>
  </si>
  <si>
    <t>22GBI0468</t>
  </si>
  <si>
    <t>MS Pipe ERW C Class 5"(125mm) / GI Pipe 1/2" / 1) PA Air Line 2) Earthing Pit Water Connection</t>
  </si>
  <si>
    <t>22GBI2745</t>
  </si>
  <si>
    <t>CS Butterfly Elbow / Forged Steel Elbow / Forged CS / Forged Steel Half Coupling / Forged CS Butterweld Reducer Socket</t>
  </si>
  <si>
    <t>22GBI2747</t>
  </si>
  <si>
    <t>CS Elbow / FCS Elbow / Ring Gasket</t>
  </si>
  <si>
    <t>22-23/OCT/011</t>
  </si>
  <si>
    <t>PI Tank 10000 Ltr</t>
  </si>
  <si>
    <t>Unnati Pipe &amp; Tanks</t>
  </si>
  <si>
    <t>Freight for Dia Water Storage Tank from Granu Aqua Tanks Pvt. Ltd.</t>
  </si>
  <si>
    <t>Patil Roadlines</t>
  </si>
  <si>
    <t>ST/2223/0000031</t>
  </si>
  <si>
    <t>HO/0537/22-23</t>
  </si>
  <si>
    <t>Electric Installation</t>
  </si>
  <si>
    <t>Eetamax Avira 100W HB Led Light / Eetamax Eels 35W Led Light / Eetamax Eels 50W ML FL Led Light / Eetamax Eels 100W ML FL Led Light / Eetamax Eels 50W ML SL Led Light       ( for Lighting System of Power Plant)</t>
  </si>
  <si>
    <t>Eetamax Energy Solutions Pvt. Ltd.</t>
  </si>
  <si>
    <t>GSPL\22-23\103</t>
  </si>
  <si>
    <t>Thyristorized APFC Panel</t>
  </si>
  <si>
    <t>Goenka Switchgears Pvt. Ltd.</t>
  </si>
  <si>
    <t>GSPL\22-23\102</t>
  </si>
  <si>
    <t>33 KV Relay Control Panel / Differential Relay for Transformer / Battary 30V with Battary Charger 20A 30V DC (for APFC Panel for Project)</t>
  </si>
  <si>
    <t>HRT/2223/304</t>
  </si>
  <si>
    <t>Transformer 3000 KVA 33KV</t>
  </si>
  <si>
    <t>Highrise Transformer</t>
  </si>
  <si>
    <t xml:space="preserve">IMS/30502/22-23 </t>
  </si>
  <si>
    <t>Compressor EG 30-7.5V 400V/50HZ / ELRD300 AC for Compresor / VA00 120 3000L 7 ASME 2062V for Compresor / PFE0280 for Compresor / FFE0280 for Compresor (Compressor for Project)</t>
  </si>
  <si>
    <t>Indian Machinery Store</t>
  </si>
  <si>
    <t>Copper Armoured Cable 1.5 x 12 C2XWY / Copper Armoured Cable 2.5 x 3 C2XWY / Copper Armoured Cable 2.5 x 4 C2XWY / Copper Armoured Cable 2.5 x 5 C2XWY / Copper Armoured Cable 4 x 3 C2XWY / Copper Armoured Cable 4 x 4 C2XWY / Aluminium Armoured Cable 6 x 4 A2XFY / Aluminium Armoured Cable 10 x 4 A2XFY / Aluminium Armoured Cable 16 x 4 A2XFY / Aluminium Armoured Cable 25 x 3.5 A2XFY / Aluminium Armoured Cable 50 x 3.5 A2XFY / Aluminium Armoured Cable 70 x 3.5 A2XFY / Aluminium Armoured Cable 95 x 3.5 A2XFY / Aluminium Armoured Cable 150 x 3.5 A2XFY / Aluminium Armoured Cable 185 x 3.5 A2XFY</t>
  </si>
  <si>
    <t>Maharashtra Cable House</t>
  </si>
  <si>
    <t>2022CH61</t>
  </si>
  <si>
    <t>Electrical Control Panel-Main PCC Panel / Electrical Control Panel-New PCC Panel / Electrical Control Panel-PCC2 Extension Panel</t>
  </si>
  <si>
    <t>S S Controls</t>
  </si>
  <si>
    <t>2022CH78</t>
  </si>
  <si>
    <t>Electric Control Panel- Aux Pcc Panel Sr.4 / Electric Control Panel- Cw Mcc Panel Sr.5 / Electric Control Panel- MLDB Sr.6 / Electric Control Panel- LDB Sr.7 / Electric Control Panel- TG Busduct Sr.8</t>
  </si>
  <si>
    <t>RTE/22-23/033</t>
  </si>
  <si>
    <t>Boiler MCC Panel+PLC Pannel with SCADA / AC Drive for MCC + PLC Pannel</t>
  </si>
  <si>
    <t>AAR Tech Engineering</t>
  </si>
  <si>
    <t>Nav Durga Electrical &amp; Associates</t>
  </si>
  <si>
    <t>HO/0555/22-23</t>
  </si>
  <si>
    <t>Cable Tie 500mmx4.8mm (for ESP Cable Work)</t>
  </si>
  <si>
    <t>Labour Chgs. for Removing of Old Economizer Coiler &amp; Erection,(the same for 14 Nos) Removing cutting of casting plate &amp; Rewelding, Licensing of feed water pipeline for economizer complete work, Air Nozzal replacement &amp; Welding complete</t>
  </si>
  <si>
    <t>Labour Charges Fabrication &amp; Errection for Super Heater / Fabrication &amp; Errection for Intigral Steam Line (26 Nos)</t>
  </si>
  <si>
    <t>CS Elbow ASTM A234 Grade Size 200mm(8") / CS Plate Slipon Raised Face Flange 200mm(8") (for Super Heater Header Material)</t>
  </si>
  <si>
    <t>HT Bolt Nut 3 Washer 18x65mm / HT Bolt Nut 3 Washer 20x65mm / HT Bolt Nut 3 Washer 22x125mm (for Super Heater Header Material)</t>
  </si>
  <si>
    <t>Super Header Coil Material (for Super Heater Header Material)</t>
  </si>
  <si>
    <t>Steel Tube / Seamless Tube (for Super Heater Header Material</t>
  </si>
  <si>
    <t>Fabrication of M.S. SILO / Screw Feeder / RAV+Distance Pieces+Slide Gate / Binvent (for Silo Work)</t>
  </si>
  <si>
    <t>Pump WL 65/10 Normal / Base Frame with Coupling &amp; Gurad Pump WL 65/10 for Turbine</t>
  </si>
  <si>
    <t>ETN 200-150-315 GG Pump / Base Frame with Coupling &amp; Guard Pump 200-150-315 for Turbine</t>
  </si>
  <si>
    <t>GranuAqua Tanks Pvt. Ltd.</t>
  </si>
  <si>
    <t>I-Kcal Systems Engineering LLP</t>
  </si>
  <si>
    <t>Civil Work</t>
  </si>
  <si>
    <t>HO/1106/22-23</t>
  </si>
  <si>
    <t>PSI-96M Ohase Sequence Meter 96*96 / Fan Regulator / (1) Project (2) Electric Dept.</t>
  </si>
  <si>
    <t>163</t>
  </si>
  <si>
    <t>Metal for Earthing Patti Bed for Project</t>
  </si>
  <si>
    <t>Jai Durga Construction</t>
  </si>
  <si>
    <t>1914</t>
  </si>
  <si>
    <t>Galv Steel Tube 1" (for Earthing Work Project)</t>
  </si>
  <si>
    <t>United Trading Company</t>
  </si>
  <si>
    <t>63288</t>
  </si>
  <si>
    <t>Pre-operative Expenses</t>
  </si>
  <si>
    <t>RKES/21-22/068</t>
  </si>
  <si>
    <t>Liasioning Work Related to GRID Connectivity of 2 MW CPP &amp; Sanction of Power Supply with CD of 500 KVA &amp; Stand by Demand of 1600 KVA at 33KV Level</t>
  </si>
  <si>
    <t>R.K. Engineering Services</t>
  </si>
  <si>
    <t>TT/21-22/0576</t>
  </si>
  <si>
    <t>Professional Chgs. for TEV Study Reprot at Factory for the Project of 2MW Captive Power Plant by Installating Steam Turbine</t>
  </si>
  <si>
    <t>Khedkar &amp; Associates Consultant Pvt. Ltd.</t>
  </si>
  <si>
    <t xml:space="preserve">Power reconnecting Processing Fees </t>
  </si>
  <si>
    <t>RKES\22-23\039</t>
  </si>
  <si>
    <t>for Liasioning Work related to Sanction of GRID Connectivity of 2MW at 33KV level</t>
  </si>
  <si>
    <t>Wooden Plug Gutka for Turbine Panel</t>
  </si>
  <si>
    <t xml:space="preserve">Shri Ram Saw Mill </t>
  </si>
  <si>
    <t>1396</t>
  </si>
  <si>
    <t>Brass BIB Cock 1/2 (for Earthing Work Project)</t>
  </si>
  <si>
    <t>SSK Enterprises</t>
  </si>
  <si>
    <t>SE22FY-00364</t>
  </si>
  <si>
    <t>Coupler for Hydraulic / Teflon Tape 3/4" / GI Nipple 1/2"x 18" (for Earthing Pit Water Connection)</t>
  </si>
  <si>
    <t>WH-223/22-23</t>
  </si>
  <si>
    <t>Cement PPC (Ultratech 50Kg) (for Earthing Pit Water Line)</t>
  </si>
  <si>
    <t>MSEB Non OP Phase I H AC A ag. Payment of Load Sanction</t>
  </si>
  <si>
    <t>MSEB</t>
  </si>
  <si>
    <t>Freight for Cable for Power Plant</t>
  </si>
  <si>
    <t>274</t>
  </si>
  <si>
    <t>1 Bricks 2000 Nos &amp; 1 Trip Sand for Earthing Pit Water Connection</t>
  </si>
  <si>
    <t>For Cunsultancy Chgs. 20% of the Order Value for Turbine Work</t>
  </si>
  <si>
    <t>Drashta Power Consultants Pvt LTd</t>
  </si>
  <si>
    <t>2020-21/065</t>
  </si>
  <si>
    <t>2021-22-036</t>
  </si>
  <si>
    <t>Consultancy Chgs</t>
  </si>
  <si>
    <t>2022-23/046</t>
  </si>
  <si>
    <t xml:space="preserve">Consultancy Chgs. 20% of Order Value on Site Mobilisation for Boiler &amp; Turbine </t>
  </si>
  <si>
    <t>Testing &amp; Inspection Fees (Soil &amp; Rock testing against Power Plant work)</t>
  </si>
  <si>
    <t>RCS/013/2021-22</t>
  </si>
  <si>
    <t>Providing Design &amp; Dtl. Mfg. Drawing of 16 TPH Boiler Super Heater, Wind Box, Dearator, Prds Station for Boiler Addition for Turbine</t>
  </si>
  <si>
    <t>Rama Consultancy Services</t>
  </si>
  <si>
    <t>MNSR/05220/21-22</t>
  </si>
  <si>
    <t>Professional Chgs. for Business Information Report on Rama Consultancy Services through SBI SME Branch Nagpur</t>
  </si>
  <si>
    <t>MNS Credit Management Group Pvt Ltd</t>
  </si>
  <si>
    <t>Borewell Testing charges</t>
  </si>
  <si>
    <t xml:space="preserve">Borewell Water Testing charges </t>
  </si>
  <si>
    <t>MNSR/12029/21-22</t>
  </si>
  <si>
    <t xml:space="preserve">Professional Chgs. Reports </t>
  </si>
  <si>
    <t>MNSR/00613/22-23</t>
  </si>
  <si>
    <t>Professional Chgs. for Business Information Report on Punjab Machine Tool</t>
  </si>
  <si>
    <t>Crain Work for Hydra Work Lubricating Element Shifting</t>
  </si>
  <si>
    <t>Crane Service for Loading unloading machinery Boiler site</t>
  </si>
  <si>
    <t>Freight for Power Plant Material from Nav Durga Boiler</t>
  </si>
  <si>
    <t>Shri Ramsagar</t>
  </si>
  <si>
    <t>Shri Krishna</t>
  </si>
  <si>
    <t>CM.No. 116</t>
  </si>
  <si>
    <t>Breaker Machine Expansion Work for WTP</t>
  </si>
  <si>
    <t>Maharashtra Pollution Control Board for Consent to Establishment for Turbine Project</t>
  </si>
  <si>
    <t>SBI</t>
  </si>
  <si>
    <t>Structural Consultancy Service at Plant Proposed Power Distribution and Panel Room</t>
  </si>
  <si>
    <t>LANDMARK CONSULTANTS</t>
  </si>
  <si>
    <t>JCB Work for New Project</t>
  </si>
  <si>
    <t>Preparation of Submission plan for Paper Mill</t>
  </si>
  <si>
    <t>D. Studio Architects</t>
  </si>
  <si>
    <t>AKRG/60/2021-22</t>
  </si>
  <si>
    <t>Financial Consultancy Services</t>
  </si>
  <si>
    <t>A K R G &amp; Associates</t>
  </si>
  <si>
    <t>AKRG/108/2021-22</t>
  </si>
  <si>
    <t>KC/64/2021-22</t>
  </si>
  <si>
    <t>Finance &amp; Consultancy Work ( Enhancement of Limit &amp; Fresh Term Loan)</t>
  </si>
  <si>
    <t>Khandelwal Consultants</t>
  </si>
  <si>
    <t xml:space="preserve">INPT212204195 </t>
  </si>
  <si>
    <t>for Air Tkt. to Mr. Rohit Devganiya &amp; Vikram Shah from Ah'bad to Nagpur &amp; Return to 18.07.21 &amp; 19.07.21</t>
  </si>
  <si>
    <t>Pawansut Travel Pvt. Ltd.</t>
  </si>
  <si>
    <t>Room Service for Shri Viramkumar Shah &amp; Shri Rohit Devganiya from Drashta Power</t>
  </si>
  <si>
    <t>Tuli Hotels Pvt. Ltd. (Tuli Imperial)</t>
  </si>
  <si>
    <t>Room Tarrif 18.07.21 to 19.07.21 for Shri Viramkumar Shah &amp; Shri Rohit Devganiya from Drashta Power, Ah.bad</t>
  </si>
  <si>
    <t xml:space="preserve">INPT222303242 </t>
  </si>
  <si>
    <t>Air Tkt. Ah'bad to Delhi &amp; Delhi to Ah'bad to Mr. Vikram Shah for Technical Work</t>
  </si>
  <si>
    <t xml:space="preserve">INPT222303246 </t>
  </si>
  <si>
    <t>Air Tkt. Nagpur to Delhi &amp; Delhi to Nagpur dt. 03.05.22 &amp; 06.05.22 to Mr. Manoj Gore for Inspection Work</t>
  </si>
  <si>
    <t xml:space="preserve">INPT222304426 </t>
  </si>
  <si>
    <t>Air Tkt. Ah'bad to H'bad &amp; H'bad to Ah'bad  dt. 03.05.22  to Mr. Rohit Devganiya for Inspection Work  (Return Tkt Cancel 14654-6894=7760)</t>
  </si>
  <si>
    <t>Lodge for Lodging &amp; Dinner Exp. to Shri Sagar Manne Engg.</t>
  </si>
  <si>
    <t>Delhi Tour Exp. for Electrical Panel Inspection</t>
  </si>
  <si>
    <t>Shri Manoj Gore</t>
  </si>
  <si>
    <t>INPT222304902</t>
  </si>
  <si>
    <t>Air Tkt. Nagpur to Delhi  dt. 10.05.22  to Mr. Gaurav Lakhotiya for Inspection Work</t>
  </si>
  <si>
    <t>INPT222304960</t>
  </si>
  <si>
    <t xml:space="preserve"> Air Tkt Delhi to Nagpur dt. 11.05.22 to Mr. Gaurav Lakhotiya for Inspection Work</t>
  </si>
  <si>
    <t>Inspection Visit Exp. for New Transformer Testing</t>
  </si>
  <si>
    <t>INPT222312512</t>
  </si>
  <si>
    <t>Air ticket Ah'bad to Nagpur &amp; Nagpur to Ah'bad dt. 11.07.22 to Mr. Rohit Devganiya visit for Project Work</t>
  </si>
  <si>
    <t>B.no. 173</t>
  </si>
  <si>
    <t>Taxi Exp. to Shri Chopdaji for Boiler Consultation Work</t>
  </si>
  <si>
    <t>BusTkt. Nagpur to Aurangabad &amp; Return to Shri Manoj Gore for Panel Inspection</t>
  </si>
  <si>
    <t>Saini Travels</t>
  </si>
  <si>
    <t>Travelling Exp. SS Control Aurangabad for Panel Inspection</t>
  </si>
  <si>
    <t xml:space="preserve">INPT222317502 </t>
  </si>
  <si>
    <t>Air Tkt. Aurangabad to Mumbai dt. 21.08.22 to Mr. Vikram Shah visit to Panel Inspection SS Control Au'bad</t>
  </si>
  <si>
    <t>INPT222317889</t>
  </si>
  <si>
    <t>Air Tkt. Mumbai to Ahmedabad dt. 21.08.22 to Mr. Vikram Shah visit to Panel Inspection SS Control Au'bad</t>
  </si>
  <si>
    <t xml:space="preserve">INPT222316227 </t>
  </si>
  <si>
    <t>Air Tkt. Ahmedabad-Mumbai-Aurangabad dt. 18.08.22 to Mr. Vikram Shah visit to Panel Inspection SS Control Au'bad</t>
  </si>
  <si>
    <t>Shri Anil, Seva Cabz vide B.No. 176 for Taxi Exp. visit Kessels Engg. Technician to Factory</t>
  </si>
  <si>
    <t>Shree Gurukripa Lodge for Lodging &amp; Boarding Exp. to Kessels Engg. Technician Mr. Rajat Kumar &amp; Ashokkumar Yadav (07.10.22 To 08.10.22)</t>
  </si>
  <si>
    <t>Shri Manoj Gore ag. Taxi Exp. Petrol, Toll &amp; Driver for Kessels Technician</t>
  </si>
  <si>
    <t>Interest on T/L7.75 Crore for  Dec &amp; Jan22 transfer on account</t>
  </si>
  <si>
    <t>Interest on T/L7.75 Crore of APR '22 transfer on account</t>
  </si>
  <si>
    <t>Interest, Term Loan Intt ag. Turnine work  (Interest on TL (7.75 Cr) 40667225452)</t>
  </si>
  <si>
    <t>Interest, Term Loan Intt ag. Turnine work (Interest on TL (7.75 Cr) 40667225452)</t>
  </si>
  <si>
    <t>DX2/2809</t>
  </si>
  <si>
    <t>Aluminium Armoured Cable 300mmx3.5 Core Ploycab (for Cabling of TG to PCC-I (for Project Transmission Line)</t>
  </si>
  <si>
    <t>KC/43/2022-23</t>
  </si>
  <si>
    <t>22GBI2926</t>
  </si>
  <si>
    <t>CS Elbow 6" / FCS Half Coupling (Socket) IBR 1" / for MCW Pipeline Cooling Tower Project Work</t>
  </si>
  <si>
    <t>2858/22-23</t>
  </si>
  <si>
    <t>Tyre Coupling F-90 Fennar for Cooling Water Line Cooling Tower</t>
  </si>
  <si>
    <t>SE178</t>
  </si>
  <si>
    <t>for Errection &amp; Commissioning Chgs. for 6.0 Ton SGEOT Crane</t>
  </si>
  <si>
    <t>CSPL-22-23-1432</t>
  </si>
  <si>
    <t>Civitech Services Pvt. Ltd.</t>
  </si>
  <si>
    <t>Conbextra Gp2 (25kg)  for Turbine Grouting Project</t>
  </si>
  <si>
    <t>CPvc Pipe / Upvc  for Sr.No.1 To 6 Ash Handling System Pnumatic Line Sr. No. 7 To 13 for Water Treatment Plant (WTP) Bore No. 3 to  WTP</t>
  </si>
  <si>
    <t>GST-323</t>
  </si>
  <si>
    <t>Cement Bends with Internals for Ash Handling Sys</t>
  </si>
  <si>
    <t>Frieght for Cement Bends with Internals</t>
  </si>
  <si>
    <t>CC/HPML/22-23/03</t>
  </si>
  <si>
    <t xml:space="preserve"> for TG Foundation with Crane Handling Column Work at Plant</t>
  </si>
  <si>
    <t>081/S/2022-23</t>
  </si>
  <si>
    <t xml:space="preserve">  for 2 Trip Sand for WTP Tank</t>
  </si>
  <si>
    <t>RIC/1025/22-23</t>
  </si>
  <si>
    <t>Rolex Industrial Corporation</t>
  </si>
  <si>
    <t>MS Flange Size 20"NB x 150 # BLRF / MS Fitting 4" NB x 2" NB x 4.5 mm Thk Tee / MS Fitting 3" NB x 4.5 mm Thk Tee for Cooling Water Line Expansion</t>
  </si>
  <si>
    <t>RIC/1022/22-23</t>
  </si>
  <si>
    <t>MS BW Fittings / MS SW Fittings / MS Flange  for Cooling Water Line Cooling Tower Expansion</t>
  </si>
  <si>
    <t>Cooling Tower Foundation Work</t>
  </si>
  <si>
    <t>CC/HPML/22-23/04</t>
  </si>
  <si>
    <t>Freight for MS BW Fittings / MS SW Fittings / MS Flange  for Cooling Water Line Cooling Tower Expansion</t>
  </si>
  <si>
    <t>HO/1557/22-23</t>
  </si>
  <si>
    <t>Punjab Machine Tools</t>
  </si>
  <si>
    <t>MS Bend / MS Slipon  Flange / CI Wafer Type Check Valve Kartar for WTP Water Line from Borewell No.3 To WTP Expansion</t>
  </si>
  <si>
    <t>INV/22-23/307</t>
  </si>
  <si>
    <t>ETN 200-150-315 GG Pump for turbine cooling tower</t>
  </si>
  <si>
    <t>Freight for Distance Pieces &amp; Loose Pipes &amp; QCNRV from Kessels</t>
  </si>
  <si>
    <t>3103/22-23</t>
  </si>
  <si>
    <t>Tyre Coupling F-90 Fennar for CoolingTower Pump</t>
  </si>
  <si>
    <t>Hindustan Mill Stores, Nagpur</t>
  </si>
  <si>
    <t>Shri Sachin Bagde</t>
  </si>
  <si>
    <t>Freight for GP2 Cement from Civiteck Services P. Ltd. :Turbine frame</t>
  </si>
  <si>
    <t>3120/22-23</t>
  </si>
  <si>
    <t>Water Meter 3" Flange Type  for WTP Plant Bore No.3 to WTP</t>
  </si>
  <si>
    <t>22GBI3153</t>
  </si>
  <si>
    <t>Gupta Machinery Stores, Nagpur</t>
  </si>
  <si>
    <t>CS Seamless Reducing Tee / FCS Blind (Dummy) Flange for Pipe Line From Superheater Header to Process for Expansion</t>
  </si>
  <si>
    <t>CSPL-22-23-1543</t>
  </si>
  <si>
    <t>Conbextra Gp2 (25kg) for Alternator Grouting for Expansion (Patel)</t>
  </si>
  <si>
    <t>CC/HPML/22-23/05</t>
  </si>
  <si>
    <t>for Silo Foundation Work at Plant</t>
  </si>
  <si>
    <t>22GBI3173</t>
  </si>
  <si>
    <t>MS ERW Butterweld Elbow 2" / MS Slipon Flange 2" / MS Flange Blind (Dummy) 1" forCompresor Air Line &amp; Water Line Expansion</t>
  </si>
  <si>
    <t>MH/8370/22-23</t>
  </si>
  <si>
    <t>Motor ABB Make 5.5KW/7.5 HP 2 Pole Foot Mounted / Motor ABB Make 45KW/60 HP 4 Pole Foot Mounted, for Water Pump Water Treatment For Cooling Tower Pump</t>
  </si>
  <si>
    <t>Freight for Pump for Turbine Cooling Tower from S.V. Traders</t>
  </si>
  <si>
    <t>freight from Motor from Makharia Machineries for Cooling Tower</t>
  </si>
  <si>
    <t>Arco Roadlines</t>
  </si>
  <si>
    <t>CC/HPML/22-23/06</t>
  </si>
  <si>
    <t>or WTP Foundation Work at Plant</t>
  </si>
  <si>
    <t>KES/052/22-23</t>
  </si>
  <si>
    <t>First Fill &amp; Flushing Lube Oil, for Forced Lubrication System Lubrication Expansion work</t>
  </si>
  <si>
    <t>Kessels Engineering Works Pvt. Ltd.</t>
  </si>
  <si>
    <t>CC/HPML/22-23/07</t>
  </si>
  <si>
    <t>for Cable Tray Foundation Work at Plant</t>
  </si>
  <si>
    <t>22GBI3244</t>
  </si>
  <si>
    <t>CS Seamless Cap Sch-40 IBR 14" for MCW Pipe Line Expansion</t>
  </si>
  <si>
    <t>22GBI3245</t>
  </si>
  <si>
    <t>FCS Blind (Dummy) Flange IBR 8" / FCS Weldneck Flanged 6"  for IBR Pipe Line from Superheater Header to Process</t>
  </si>
  <si>
    <t>CSPL-22-23-1602</t>
  </si>
  <si>
    <t>Conbextra Gp2 (25kg) for Turbine Condensor Work</t>
  </si>
  <si>
    <t>FSI/2022-23/0426</t>
  </si>
  <si>
    <t>MS Channel 100x50 / MS Channel 150x75 / MS Plate HR 10mm for Turbine Steam Line Supporting Stand for Boiler</t>
  </si>
  <si>
    <t>Labour for Unloading Chgs  Turbine Steam Line Supporting Stand from Future Steel</t>
  </si>
  <si>
    <t>CASH PAID</t>
  </si>
  <si>
    <t>Freight for GP2 Cement Bag from Civitech Services for Panel</t>
  </si>
  <si>
    <t>Sanjay Fulzele</t>
  </si>
  <si>
    <t>Hamali for GP-2 Cement from Civitech Services</t>
  </si>
  <si>
    <t>RIC/1078/22-23</t>
  </si>
  <si>
    <t>MS Fittings 350NB x 6mm Thk 90 Elbow for Cooling Tower</t>
  </si>
  <si>
    <t>Safety Valve 4"x6" 300# x 150# IBRfor IBR Pipeline Expansion</t>
  </si>
  <si>
    <t>INV/22-23/305</t>
  </si>
  <si>
    <t>ETN 050-032-200 GG Pump, for  WTP Work Expansion</t>
  </si>
  <si>
    <t>frieght for MS Flange, fitting from Rolex Indl. Corporation</t>
  </si>
  <si>
    <t xml:space="preserve">frieght for MS Flange, fitting </t>
  </si>
  <si>
    <t xml:space="preserve">Shri Abhay </t>
  </si>
  <si>
    <t>HO/1612/22-23</t>
  </si>
  <si>
    <t>CI Butterfly Valve for WTP Water Line from Borewell No. 3 to WTP</t>
  </si>
  <si>
    <t>GATPL/22-23/22</t>
  </si>
  <si>
    <t>Water Storage Tank Cap-42KL Size Dia-3.69M H-4MM for Water Treatment Plant Tank Accessories</t>
  </si>
  <si>
    <t>GATPL/22-23/23</t>
  </si>
  <si>
    <t>Water Storage Tank Cap-66KL Size Dia-4.61M H-4MM  for Water Treatment Plant Tank Accessories</t>
  </si>
  <si>
    <t>UPvc Coupling 21/2" / UPvc Male Adopter 1/2" / UPvc Pipe Sch-40, 21/2"x3 MTR / UPvc Elbow 90 Deg 21/2" / UPvc Vanstone Flange 21/2" / MS Socket 11/2" for Ash Handling Airline &amp; WTP</t>
  </si>
  <si>
    <t>CPvc M.A.B.T. 11/2" / CPvc F.A.B.T. 11/2" for Ash Handling Airline &amp; WTP</t>
  </si>
  <si>
    <t>X2/2015/22-23</t>
  </si>
  <si>
    <t>X2/2016/22-23</t>
  </si>
  <si>
    <t>Dowells DBW-011 Weather Proof DC Brass Cable Gland  for Power plant project</t>
  </si>
  <si>
    <t>X2/2020/22-23</t>
  </si>
  <si>
    <t>Dowells Als-Aluminium Tube Terminals for Power plant project</t>
  </si>
  <si>
    <t>Dowells DBW- Weather Proof DC Brass Cable Gland for Power plant project</t>
  </si>
  <si>
    <t>X2/2019/22-23</t>
  </si>
  <si>
    <t>X2/2023/22-23</t>
  </si>
  <si>
    <t>Dowells-Dbl Compression Medium Duty Sieme for Power plant project</t>
  </si>
  <si>
    <t>X2/2022/22-23</t>
  </si>
  <si>
    <t>Dowells DBW-Weather Proof DC Brass Cable Gland</t>
  </si>
  <si>
    <t>X2/2010/22-23</t>
  </si>
  <si>
    <t>PG- Gland / Dowells Pin Terminals Non-Insu Lugs / Dowells Ring Terminals Lug</t>
  </si>
  <si>
    <t>X2/2021/22-23</t>
  </si>
  <si>
    <t>Meco Digital Multimeter (Auto) / Digital Clamp Meter Auto DT-2250 / Crimping Tools 25mm To 400mm for Power Plant Project</t>
  </si>
  <si>
    <t>HO/1550/22-23</t>
  </si>
  <si>
    <t>Anchor Bolt 10x100 for Electric Fitting Turbine Expansion</t>
  </si>
  <si>
    <t>HO/1593/22-23</t>
  </si>
  <si>
    <t>MS Spacer Patti /  Saddl Ind / Wooden Gujjta / M MS Moxes / Socket / Pressure Patti Screw / Copper Wire for turbine electrical fitting</t>
  </si>
  <si>
    <t>11745/2223</t>
  </si>
  <si>
    <t>MS Bolt Nut Washer / CC Nut Bolt Washer for Cooling Tower Water Line &amp; Earthing Work</t>
  </si>
  <si>
    <t>X2/2234/22-23</t>
  </si>
  <si>
    <t>Aluminium Armoured Cable 50 x 3.5 Core Polycab / Aluminium Armoured Cable 95 x 3.5 Core Polycab for1) WTP New  AUX PCC to WTP 2) WTP  New AUX PCC to Compresor Room</t>
  </si>
  <si>
    <t>Shri Rajkaran Verma, Suraj Singh</t>
  </si>
  <si>
    <t>for Hydra Work Cooling Tower Cable Tray Shifting Work</t>
  </si>
  <si>
    <t>BE/G-1144/22-23</t>
  </si>
  <si>
    <t>Bajaj Ceiling Fan / Syska Led Tube Light 36W for TG Turbine Fitting Expansion</t>
  </si>
  <si>
    <t>Balaji Enterprises</t>
  </si>
  <si>
    <t>INV-2223-097 R0</t>
  </si>
  <si>
    <t>Deaerator Tank Accessories</t>
  </si>
  <si>
    <t>CC/HPML/22-23/08</t>
  </si>
  <si>
    <t>for TG Hall Work (Construction done on Turbine, Panel Hall Work at Plant)</t>
  </si>
  <si>
    <t>Shri Pankaj Jaipurkar</t>
  </si>
  <si>
    <t>WTP Building Painting Work</t>
  </si>
  <si>
    <t>Shri Gaurav Lakhotiya ag. Dinner Exp. with Rohit Devganiya from Drashta Power</t>
  </si>
  <si>
    <t>Shri Kunal ag. Tea, Nashta, Coffee Refreshment Exp. to Technical Person from Drashta Power Shri Vikarm Shah &amp; Shri Rohit Devganiya</t>
  </si>
  <si>
    <t>Saraswati General Stores for Stainer Purchase WTP Shed Work</t>
  </si>
  <si>
    <t>Shri Abhay ag. Carting for C Pvc Pipe for WTP Pipe Line</t>
  </si>
  <si>
    <t xml:space="preserve"> Shri Chopra Saheb for Boiler Consulting Charges Two Day</t>
  </si>
  <si>
    <t>Shri Chopra Saheb for Boiler Consulting Charges Two Day</t>
  </si>
  <si>
    <t>Yash Lodging &amp; Boarding for Kessels Engg. Room Rent &amp; Bisleri Exp.</t>
  </si>
  <si>
    <t xml:space="preserve"> Yash Lodging &amp; Boarding for Kessels Engg. Room Rent &amp; Bisleri Exp.</t>
  </si>
  <si>
    <t>Kessels Engg. Dinner &amp; Railway Station Drop Exp</t>
  </si>
  <si>
    <t>for Air Suspension Bellows Retaining Type</t>
  </si>
  <si>
    <t>Aarnesh Air Products Pvt. Ltd.</t>
  </si>
  <si>
    <t>FSI/2022-23/0358</t>
  </si>
  <si>
    <t>for SS Nozzle</t>
  </si>
  <si>
    <t>Fabrication &amp; Errection of Ladder Build &amp; WTP Shed / Errection of UT Crane Gurder for Project</t>
  </si>
  <si>
    <t>INV/22-23/316</t>
  </si>
  <si>
    <t>Base Frame with Coupling &amp; Guard Pump-ETN50-32-200 for Pump ETN</t>
  </si>
  <si>
    <t>Emirates Logistics India P. Ltd.</t>
  </si>
  <si>
    <t>Interest on T/L (1.40 Cr) 41345851422</t>
  </si>
  <si>
    <t>Items/Place</t>
  </si>
  <si>
    <t>Crane</t>
  </si>
  <si>
    <t>JMC Paper Tech Pvt Ltd</t>
  </si>
  <si>
    <t>G0056</t>
  </si>
  <si>
    <t>Paper Roll Assembly-Paper Roll in Front of Dryer9  /  Paper Roll Assembly-Paper Roll After Jumbo Press / Stretcher Slidding Bracket , for Part of Paper Machine</t>
  </si>
  <si>
    <t>FRT to Abhishek Roadlines for Pressure Screen from Zhengzhou Yunda</t>
  </si>
  <si>
    <t>Abhishek Roadlines</t>
  </si>
  <si>
    <t>ELE/GST/301/2122</t>
  </si>
  <si>
    <t>AC Drive ATV930IP00 160KW 400V/480V Breaking (For Coutch Roll)</t>
  </si>
  <si>
    <t>ELE+MECH ENGINEERING SOLUTIONS</t>
  </si>
  <si>
    <t>PTC/21-22/01655</t>
  </si>
  <si>
    <t>Paint Apple Green Shalimar 20ltr /  Paint BP Redoxide Primer 20Ltr</t>
  </si>
  <si>
    <t>RGA/2122/CR/1499</t>
  </si>
  <si>
    <t>Industrial Oxygen Gas (RMG)</t>
  </si>
  <si>
    <t>RAJESH GAS AGENCIES</t>
  </si>
  <si>
    <t>RGA/2122/CR/157</t>
  </si>
  <si>
    <t>Crain Work for Power Plant Material unloading</t>
  </si>
  <si>
    <t>Shri Manoj</t>
  </si>
  <si>
    <t>SS Bolt / SS Nut (for New PM I Insulation)</t>
  </si>
  <si>
    <t>MUM10902</t>
  </si>
  <si>
    <t>Import Material Inspection (China Zhengzhou)</t>
  </si>
  <si>
    <t>T-Three Isla Pvt. Ltd.</t>
  </si>
  <si>
    <t xml:space="preserve"> YD211211-1</t>
  </si>
  <si>
    <t>Inflow Pressure Screen Model NLS25</t>
  </si>
  <si>
    <t>Zhengzhou Yunda Paper Machinery Co. Ltd.</t>
  </si>
  <si>
    <t>Inv. No.9056219803001871</t>
  </si>
  <si>
    <t>Stamp Duty, Custom Charges &amp; direct payment raised against Zhengzhau Yunda chaina material on a/c</t>
  </si>
  <si>
    <t>Inv. No. 9056219803001870</t>
  </si>
  <si>
    <t>Agency, Examination &amp; Handling Chgs ag. Zhengzhau Chaina material</t>
  </si>
  <si>
    <t>22GBI2751</t>
  </si>
  <si>
    <t>L &amp; T Make CS Ball Valve / GI Union / GI Reducing Socket  / GI Reducing Tee / GI Reducing Tee (for Air Line)</t>
  </si>
  <si>
    <t>S1/2122/0000038</t>
  </si>
  <si>
    <t xml:space="preserve">ESP Inspection &amp; Servicing Charges </t>
  </si>
  <si>
    <t>MS Plate HR / PM Plate 16mm for Boiler Work</t>
  </si>
  <si>
    <t>MS Angle 50x6 / MS Channel 100x50 / MS Flat 40x5 / MS Tube 11/2" for Boiler Work</t>
  </si>
  <si>
    <t>MS Flat 50x6 / MS Angle 65x6 for Boiler Work</t>
  </si>
  <si>
    <t>Others (Boiler Modification)</t>
  </si>
  <si>
    <t>Shree Gurukripa Lodge</t>
  </si>
  <si>
    <t xml:space="preserve"> Shri Chopra Saheb</t>
  </si>
  <si>
    <t>Yash Lodging &amp; Boarding</t>
  </si>
  <si>
    <t>Shree Engineering</t>
  </si>
  <si>
    <t>Rotary Feeder Assembly, for Boiler</t>
  </si>
  <si>
    <t>Spring Hanger Support, for Boiler</t>
  </si>
  <si>
    <t>AAA Supports Pvt Ltd</t>
  </si>
  <si>
    <t>Sridevi Engineering Consultancy &amp; Agency</t>
  </si>
  <si>
    <t>Total</t>
  </si>
  <si>
    <t>Travelling Expenses</t>
  </si>
  <si>
    <t>ESP Spare Parts for Project Work</t>
  </si>
  <si>
    <t>Copper Flexible Cable 1.5mm x 3core (ESP Rapper Coil Connection) for Project</t>
  </si>
  <si>
    <t>Shifting of 11 KV Line, Supply and Eracting 9 mtr. long RSJ pole in cement concrete including V Cross channel, 11Kv Insulator, ACSR Conductor, Stay Set, Earthing Set, etc Qty. 9 Nos. for Project</t>
  </si>
  <si>
    <t>Others Machineries</t>
  </si>
  <si>
    <t>Geo Systems Research Cons. I. Pvt. Ltd.</t>
  </si>
  <si>
    <t>Anacon Laboratories Pvt. Ltd.</t>
  </si>
  <si>
    <t>Vimta Labs Limited</t>
  </si>
  <si>
    <t>Maharashtra Pollution Control Board</t>
  </si>
  <si>
    <t xml:space="preserve">Sai Associates </t>
  </si>
  <si>
    <t>Shri Gurukrupa Lodge</t>
  </si>
  <si>
    <t>Seva Cabz</t>
  </si>
  <si>
    <t>Shri Gaurav Lakhotiya</t>
  </si>
  <si>
    <t>Shri Kunal</t>
  </si>
  <si>
    <t>Liasioning Charges</t>
  </si>
  <si>
    <t>Professional Fees</t>
  </si>
  <si>
    <t>Testing &amp; Inspection Charges</t>
  </si>
  <si>
    <t>Consultancy Service Charges</t>
  </si>
  <si>
    <t>Shri Abhay</t>
  </si>
  <si>
    <t>50% Payment of the Order Value on Erection of major items (Contract price-1200000/-)</t>
  </si>
  <si>
    <t>Interest on T/L7.75 Crore for  Dec &amp; Feb22 transfer on account</t>
  </si>
  <si>
    <t>Interest on T/L7.75 Crore for  Dec &amp; Mar22 transfer on account</t>
  </si>
  <si>
    <t>Loan Processing Charges</t>
  </si>
  <si>
    <t xml:space="preserve">3289/22-23 </t>
  </si>
  <si>
    <t>Rubber Sheet 4mm Neoprene, for Turbine Cooling Water Pipe line</t>
  </si>
  <si>
    <t>KES/054/22-23</t>
  </si>
  <si>
    <t>Pipe Valve, Fitting, for Power Plant Line</t>
  </si>
  <si>
    <t xml:space="preserve">UPVC Pipes, Elbow, Coupling, Vanstone Flange, for WTP to Cooling Tower Pipe Line soft Water for Cooling Water Line </t>
  </si>
  <si>
    <t>GI Sheet Pipe, Reducing, Socket, Union, for Turbine Building Air Line</t>
  </si>
  <si>
    <t xml:space="preserve">GI Elbow / GI Reducing Socket, for Turbine Air Line </t>
  </si>
  <si>
    <t xml:space="preserve">22GBI3355 </t>
  </si>
  <si>
    <t>CS Elbow ASTM A234 / CS Slipon Raised Face Flange IBR 1 / Arkay Forged Brass Ball Valve / GI Barrel Nipple, for Turbine Air Line</t>
  </si>
  <si>
    <t>IBL-G-2223-1088</t>
  </si>
  <si>
    <t>22GBI3356</t>
  </si>
  <si>
    <t>L&amp;T Make CS Ball Valve 11/2", for Turbine Airline Expansion</t>
  </si>
  <si>
    <t>3357/22-23</t>
  </si>
  <si>
    <t>PS Drill Bit / Gasket Sheet 5mm Metallic Champion /  for 1)2) Anchor Bolting Work 3) Steam Line Turbine 4) Finishing Godown Crane</t>
  </si>
  <si>
    <t>UPvc R Coupling / UPvc Solvent, for Air Line Cooling Tower Expansion</t>
  </si>
  <si>
    <t>Galv Steel Tube / GI Elbow / Tee Socket Union , for Air Line Turbine, Hall &amp; Ash Handling System Expansion</t>
  </si>
  <si>
    <t>Socket, Nipple, Ball Valve,  for Air Line Ash Handling Work Instrumentation work</t>
  </si>
  <si>
    <t xml:space="preserve">MS End Plug, for Air Line Ash Handling Work </t>
  </si>
  <si>
    <t>Cash Paid</t>
  </si>
  <si>
    <t>Hydra Work for Cooling Tower Work</t>
  </si>
  <si>
    <t>Shri Suraj Singh</t>
  </si>
  <si>
    <t xml:space="preserve">Gate Valve, for Project Steam Line IBR Line </t>
  </si>
  <si>
    <t>22GBI3464</t>
  </si>
  <si>
    <t>Forged Carbon Steel Elbow 8", for Project Turbine</t>
  </si>
  <si>
    <t>1238/22-23</t>
  </si>
  <si>
    <t xml:space="preserve">Pressure Gauge &amp; etc. , for Power Plant Work at Different Places in Steam Line </t>
  </si>
  <si>
    <t>Aristo Automation</t>
  </si>
  <si>
    <t>3424/22-23</t>
  </si>
  <si>
    <t>High Tensile Nut Bolt -Half Thread, for Steam Line Turbine Project</t>
  </si>
  <si>
    <t>3413/22-23</t>
  </si>
  <si>
    <t>High Tensile Nut Bolt - Dbl Washer Half Thread, for Steam Line Turbine Project</t>
  </si>
  <si>
    <t>INV103</t>
  </si>
  <si>
    <t>Plenum Chamber Fabrication / Air Nozzle, for Boiler Use Project</t>
  </si>
  <si>
    <t>22GBI3511</t>
  </si>
  <si>
    <t xml:space="preserve">CS Elbow 12", for IBR Steam Line Expansion </t>
  </si>
  <si>
    <t>3523/22-23</t>
  </si>
  <si>
    <t>Spiral Wound Gasket, for Steam Line Turbine Expansion</t>
  </si>
  <si>
    <t xml:space="preserve"> Shri Vasanta Balpande</t>
  </si>
  <si>
    <t xml:space="preserve"> for Technician Project Team</t>
  </si>
  <si>
    <t>RKES\22-23\131</t>
  </si>
  <si>
    <t>33KV Metering Cubicle , for Electric Use Expansion</t>
  </si>
  <si>
    <t>MSEB for Testing Chgs. ABT Meteres for CPP Letter No. SE/NRC HT/T/04074 dt. 09.12.22</t>
  </si>
  <si>
    <t>Nipple, Plug, Reducer, etc. for TG Building Earthing</t>
  </si>
  <si>
    <t>PTC/22-23/01372</t>
  </si>
  <si>
    <t>Paints, for T.G. Building Painting Work</t>
  </si>
  <si>
    <t>freight for Aluminium Window for Power Plant Building from Ashish Sawarkar</t>
  </si>
  <si>
    <t>Shri Surendra Lonkar</t>
  </si>
  <si>
    <t>Painting Roller for Power Plant Building</t>
  </si>
  <si>
    <t>Saraswati General Stores</t>
  </si>
  <si>
    <t>Paid to Purchase Coconut Roap (Rassi) for Boiler Bhada</t>
  </si>
  <si>
    <t>Sutter,</t>
  </si>
  <si>
    <t>P.K. Engineering Works</t>
  </si>
  <si>
    <t>Shri Arun Tawle</t>
  </si>
  <si>
    <t>Tiffin Exp. dt. 21.11.22 To 05.12.22 for Power Plant Work</t>
  </si>
  <si>
    <t>cash Paid</t>
  </si>
  <si>
    <t>Energie Sparen</t>
  </si>
  <si>
    <t>HEADS</t>
  </si>
  <si>
    <t>Venus Transport Co.</t>
  </si>
  <si>
    <t>Shri Arun</t>
  </si>
  <si>
    <t>Inv. No. 1101</t>
  </si>
  <si>
    <t>Taxi Exp. Chopra Saheb visit Factory</t>
  </si>
  <si>
    <t>Shrikrupa lodge</t>
  </si>
  <si>
    <t>Lodging, Lunch, Dinner, Nashta Exp. for Turbine Tank Work, S.S. Control Technician to Shri Ajay Dumbere</t>
  </si>
  <si>
    <t xml:space="preserve"> Lodging, Lunch, Dinner, Nashta Exp. for Turbine Tank Work, S.S. Control Technician to Shri Shambaji Mule</t>
  </si>
  <si>
    <t>22GBI3602</t>
  </si>
  <si>
    <t>22GBI0658</t>
  </si>
  <si>
    <t>MS Pipe ERW 14" , for Cooling Water Line Expansion</t>
  </si>
  <si>
    <t>CS Seamless Reducing Socket IBR 300x250mm, for Steam Line IBR Expansion</t>
  </si>
  <si>
    <t>MS Reducer &amp; Flange,for Lube Oil System Cooling Water Line Expansion</t>
  </si>
  <si>
    <t>22GBI3605</t>
  </si>
  <si>
    <t>CS Slipon Raised Face Flange IBR 12" for Steam Line IBR Expansion</t>
  </si>
  <si>
    <t>RIC/1181/22-23</t>
  </si>
  <si>
    <t>Thermowell Stub M33x2x64 mm Lg,  for Steam Line IBR Expansion</t>
  </si>
  <si>
    <t>Freight for Rotary Feeder Assembly from Sri Devi Engg.</t>
  </si>
  <si>
    <t>V-Trans</t>
  </si>
  <si>
    <t>G-156/22-23</t>
  </si>
  <si>
    <t>12018/2223</t>
  </si>
  <si>
    <t>Stud 2 Nut, for Cooling Water Line Expansion</t>
  </si>
  <si>
    <t>Interest</t>
  </si>
  <si>
    <t>Loan Processing Charges_T/L</t>
  </si>
  <si>
    <t>Interest_on T/L</t>
  </si>
  <si>
    <t>GROSS TOTAL (A)</t>
  </si>
  <si>
    <t>GROSS TOTAL (B)</t>
  </si>
  <si>
    <t>GROSS TOTAL (C)</t>
  </si>
  <si>
    <t>Galve Steel Tube, Nipple, Union, Tee, Reducer, Plug, for T.G. Building Earthing</t>
  </si>
  <si>
    <t>HO/1797/22-23</t>
  </si>
  <si>
    <t>Copper Flexible Cable,  for 1) CT Fan Control Cabling 2) Hand Lamp Lighting</t>
  </si>
  <si>
    <t>SE/HPML/HARDOLI/02</t>
  </si>
  <si>
    <t>Saibaba Electrical</t>
  </si>
  <si>
    <t>for Turbine Earthing Work (Pits, Chamber, Strps 50*8MM, 10MM, Panel Shifting &amp; Errection, Concret Breaking, LT Cable Lating 300sq.mm</t>
  </si>
  <si>
    <t>HO/1809/22-23</t>
  </si>
  <si>
    <t>Pressure Patti, Screw for Saddle, Wire Connector, forT.G. Panel Room &amp; Cabin Expansion</t>
  </si>
  <si>
    <t>HO/1789/22-23</t>
  </si>
  <si>
    <t>Modular Plate, Modular Concealed Box, Modular Socket, Modular Switch, Modular Fan Regulatorr, for T.G. Panel Room &amp; Cabin</t>
  </si>
  <si>
    <t>HO/1815/22-23</t>
  </si>
  <si>
    <t>Pressure Patti, Screw for Saddle, for T.G. Building Electric Fitting Expansion</t>
  </si>
  <si>
    <t>12019/2223</t>
  </si>
  <si>
    <t>Anchor Bolt,  for Bolt Anchoring Turbine Building Expansion</t>
  </si>
  <si>
    <t>Seva Cabz vide B.no. 404 for Taxi Exp. Nagpur to Factory for Kessels Engg. Mr. Ajay Dumbhare</t>
  </si>
  <si>
    <t>Paid to Shri Ajay Dumbhare Kessels Engg for Lunch Exp.</t>
  </si>
  <si>
    <t>Shri Ajay Dumbhare</t>
  </si>
  <si>
    <t>MS Flange, for Lube Oil System Cooling Tower Line Expansion</t>
  </si>
  <si>
    <t>MS End Plug, for Drain Cooling Water Line use</t>
  </si>
  <si>
    <t>PTC/22-23/01466</t>
  </si>
  <si>
    <t>Paint, for TG Pannel Room &amp; Cabin Painting Expansion</t>
  </si>
  <si>
    <t xml:space="preserve">RTE/22-23/034 </t>
  </si>
  <si>
    <t>Freight for Panel from Aar Tech</t>
  </si>
  <si>
    <t>SE/HPML/Hardoli/01</t>
  </si>
  <si>
    <t>for Laying of 300 Sq.mm Power Cable Each Run 150 mtrs Total Run 10 Nos total Cable Length 1.5 KM</t>
  </si>
  <si>
    <t>Swing Check Valve F/E Gr. WCB / Lift Check Valve S/W Gr. A105 / Needle Valve S/E Gr. SS316 / Flap Check Valve Wafer Type Gr.CS / Butterfly Valve Wafer Type Gr.CI / Globe Valve S/W Gr. A105 / Globe Valve S/W Gr. A105 / Globe Valve S/W Gr. A105 / Globe Valve F/E Gr. WCB / Globe Valve S/W Gr. A105 / Gate Valve S/W Gr. A105, for Power Plant Project</t>
  </si>
  <si>
    <t xml:space="preserve">Green Cement for Turbine Kota Work </t>
  </si>
  <si>
    <t>Green Cement</t>
  </si>
  <si>
    <t>Coconut Roap (Rassi)</t>
  </si>
  <si>
    <t>for Green Coating Cement Purchase turbine building</t>
  </si>
  <si>
    <t xml:space="preserve">Ashish Sawarkar Frieght </t>
  </si>
  <si>
    <t>RAVI STEEL INDUSTRIES</t>
  </si>
  <si>
    <t>Niranjan Koche</t>
  </si>
  <si>
    <t>FSI/2022-23/0234</t>
  </si>
  <si>
    <t>for WTP Shade</t>
  </si>
  <si>
    <t>J.P. &amp; SONS</t>
  </si>
  <si>
    <t>SE22FY-00363</t>
  </si>
  <si>
    <t>L Hook, Bituman Washar, Foundation Bold, for Boiler Shed Work</t>
  </si>
  <si>
    <t>MS Tube, MS Angle, MS Plate, for Boiler Shed Work</t>
  </si>
  <si>
    <t>268/22-23</t>
  </si>
  <si>
    <t>GP/CC Sheet, for CHP Boiler Shade work</t>
  </si>
  <si>
    <t>G.I. Elbow / G.I. Reducer / G.I. Nipple / G.I. Nipple / G.I. Nipple / G.I. Elbow / G.I. Socket / G.I. Socket / G.I. Elbow / G.I. Tee / G.I. R Elbow / Teflon Tape (for Earthing Pit Water Connection)</t>
  </si>
  <si>
    <t xml:space="preserve">for Electric Panel with Energy </t>
  </si>
  <si>
    <t>for Pump</t>
  </si>
  <si>
    <t>for Level Gauhe</t>
  </si>
  <si>
    <t>G.I. Long Bend 11/4", for Turbine Building Stair Railing work</t>
  </si>
  <si>
    <t>RIC/1204/22-23</t>
  </si>
  <si>
    <t>CS Flanges IBR, for Steam line IBR Expansion</t>
  </si>
  <si>
    <t>RIC/1205/22-23</t>
  </si>
  <si>
    <t>CS Flanges IBR, for Steam Line IBR 4) Temp &amp; Pressure Gauge Fitting</t>
  </si>
  <si>
    <t>Freight for Rollex</t>
  </si>
  <si>
    <t xml:space="preserve">Freight </t>
  </si>
  <si>
    <t>INVDM2223000710</t>
  </si>
  <si>
    <t>22GBI3739</t>
  </si>
  <si>
    <t>Ring Gasket Spiral Wound, for Steam Line</t>
  </si>
  <si>
    <t xml:space="preserve">Gate Valve, for  Steam Line IBR Line </t>
  </si>
  <si>
    <t>G.I. Tee 11/2", for WTP Line</t>
  </si>
  <si>
    <t>22GBI3771</t>
  </si>
  <si>
    <t>MS Slipon Flange, for Turbine Condenset Line ( Kessels Scope)</t>
  </si>
  <si>
    <t>G.I. Elbow, for Turbine Air line</t>
  </si>
  <si>
    <t>for Steam Trap for Boiler</t>
  </si>
  <si>
    <t>Freight</t>
  </si>
  <si>
    <t>HO/1879/22-23</t>
  </si>
  <si>
    <t>TCT Core Cutter, Core Bit Adaptor, Drill Chuck, SPS Adaptor, for Turbine Building Stair Railing Work</t>
  </si>
  <si>
    <t>22GBI3836</t>
  </si>
  <si>
    <t>C.S. Plate Slipon Flange, for Steam Line Turbine Expansion</t>
  </si>
  <si>
    <t>22GBI3873</t>
  </si>
  <si>
    <t>CS Elbow Butterweld, for Turbine DM Water Line</t>
  </si>
  <si>
    <t>FSI/2022-23/0548</t>
  </si>
  <si>
    <t>MS Plate, MS Joist (Beam), MS Channel, MS Flat, for Boiler Project Superheater Door for Boiler</t>
  </si>
  <si>
    <t>Electrical Work</t>
  </si>
  <si>
    <t>INV/22-23/375</t>
  </si>
  <si>
    <t>Motor Movitec VCF, for Desuperheater Expansion</t>
  </si>
  <si>
    <t>TAP/2648/22-23</t>
  </si>
  <si>
    <t>Utility Knipe, for Electric Cable Cutting use</t>
  </si>
  <si>
    <t>2022-23/184</t>
  </si>
  <si>
    <t>Walky-Talky Systems Lenovo for Project</t>
  </si>
  <si>
    <t>Apex Automation &amp; Security Systems</t>
  </si>
  <si>
    <t>2022-23/178</t>
  </si>
  <si>
    <t>Camara, Lan Networking, Cabling, Installation Charges, for Project</t>
  </si>
  <si>
    <t>Freight for Aluminium Door for Turbine room</t>
  </si>
  <si>
    <t>Freight paid to Ashish Sawarkar</t>
  </si>
  <si>
    <t>Paid to Shri Harikrishna Pandey, Aar Tech Engg. for Boiler Consulting Visit Exp.</t>
  </si>
  <si>
    <t>Paid to Harishankar Pandey for Boiler Factory Visit Lodging &amp; Nashta Exp. Aar Tech Engg.</t>
  </si>
  <si>
    <t>Travelling, Harikrishna Pandey</t>
  </si>
  <si>
    <t>Paid to Gurukrupa Lodge vide Cm.No. 1064  for Lodging Exp. to shri Vipul Shrivastav from Kessles Engg.</t>
  </si>
  <si>
    <t>for Lodging &amp; Boarding Chgs. 18.12.22 To 10.01.23 for Kessels Engg. Mr. Ajay Dumbhare</t>
  </si>
  <si>
    <t>INVDM2223000776</t>
  </si>
  <si>
    <t>INVDM2223000772</t>
  </si>
  <si>
    <t>ERW Tube, for Boiler</t>
  </si>
  <si>
    <t>Tiffin Exp. for Kessels Engg. Power Plant Work</t>
  </si>
  <si>
    <t>Travelling, Vipul Shrivastav</t>
  </si>
  <si>
    <t>Travelling, Harishankar Pandey</t>
  </si>
  <si>
    <t>Travelling, Shri Arun Thawle</t>
  </si>
  <si>
    <t>RIC/1283/22-23</t>
  </si>
  <si>
    <t>CS Flanges IBR, for Boiler Steam Line IBR</t>
  </si>
  <si>
    <t>GC No. 2207707357</t>
  </si>
  <si>
    <t>Freight for Pump From S.V. Traders</t>
  </si>
  <si>
    <t xml:space="preserve">Rec. No. 54346 </t>
  </si>
  <si>
    <t>Freight for Flanges from Rolex Industrial Corp. Lr.no. 2407</t>
  </si>
  <si>
    <t>K S T Roadline India</t>
  </si>
  <si>
    <t>Inv.no. FY/22-23/183</t>
  </si>
  <si>
    <t>Freight for Gate Valve from Sigma Industries Lr.no. 886 dt. 03.01.23 Veh.No. MH-29 BE-4368</t>
  </si>
  <si>
    <t>GC No. 2208915142</t>
  </si>
  <si>
    <t>Freight for Steam Trap &amp; Float Trap from Energie Sparen</t>
  </si>
  <si>
    <t>GC No. 2209509547</t>
  </si>
  <si>
    <t>Freight for Pump from WTE Infra Projects P. Ltd.</t>
  </si>
  <si>
    <t>GC No. 2209509846</t>
  </si>
  <si>
    <t>Freight for Panel Mtrl. from WTE Infra Projects Pvt. Ltd.</t>
  </si>
  <si>
    <t>GC No. 2209509959</t>
  </si>
  <si>
    <t>Freight for Level Gauge from WTE Infra Projects Pvt. Ltd.</t>
  </si>
  <si>
    <t>Freight for Valve from Perfect Engg. Services Kessels A/c</t>
  </si>
  <si>
    <t>Rec. No. HM7002243831</t>
  </si>
  <si>
    <t>Associated Road Carriers Limited</t>
  </si>
  <si>
    <t>846/22-23</t>
  </si>
  <si>
    <t>SS Flat, SS Angle, for WTP Drain</t>
  </si>
  <si>
    <t>Ganpat Steel Industries</t>
  </si>
  <si>
    <t>Rec. No. 54626</t>
  </si>
  <si>
    <t>Freight for SS Flat &amp; SS Angle from Ganpat Steel vide Lr.no. Z/No.2686</t>
  </si>
  <si>
    <t>Rec. No. 54627</t>
  </si>
  <si>
    <t>Freight for CS Flanges IBR from Rolex Industrial Corp. Lr.no. Z/No. 2698</t>
  </si>
  <si>
    <t>3938/22-23</t>
  </si>
  <si>
    <t>Copper Pipe, Brass Elbow, Tea, Bush, Connector, for Instrumentation Air Line Turbine Project</t>
  </si>
  <si>
    <t>3939/22-23</t>
  </si>
  <si>
    <t>Brass Connector, Elbow, Tea,  for Instrumentation Air Line Turbine Project</t>
  </si>
  <si>
    <t>22GBI3906</t>
  </si>
  <si>
    <t>FCS Slipon Raised Face Flanged, for De-Arretor Tank Work I-Kcal System</t>
  </si>
  <si>
    <t>Freight for Material United Pipe Traders</t>
  </si>
  <si>
    <t>Upvc Pipe, Upvc Elbow, Upvc Coupling, Upvc Tee, for WTP to Ash Handling Reject Water Line + Borewell No. 3 &amp; 4 Fresh Water Line</t>
  </si>
  <si>
    <t>Paid to Loha Unloading Exp. from Future Steel</t>
  </si>
  <si>
    <t>FSI/2022-23/0584</t>
  </si>
  <si>
    <t>MS Round, for Boiler Modification</t>
  </si>
  <si>
    <t>For Painting Work T.G. Building  &amp; WTP Internal Side, T.G. Panel Room &amp; Cabin, WTP Outer Side &amp; TG Cabin Outer Side</t>
  </si>
  <si>
    <t>Painting</t>
  </si>
  <si>
    <t>Travelling Shri Vasanta Balpande</t>
  </si>
  <si>
    <t>Room Rent &amp; Electric Bill for Technician S. S. Control Panel</t>
  </si>
  <si>
    <t>12224/2223</t>
  </si>
  <si>
    <t>MS Bolt Nut, for De-Areator Tank Water I-Kcal System Project, Maint dept, Anchor Bolt</t>
  </si>
  <si>
    <t>FRL Unit, Cutting Wheel, Inv.no. 4024/22-23  for 1) Turbine Air Line 2) Cutting Work</t>
  </si>
  <si>
    <t>4024/22-23</t>
  </si>
  <si>
    <t>FSI/2022-23/0581</t>
  </si>
  <si>
    <t>MS Chequered Plate, MS Plate, MS Channel, MS Angle, for Coal Bunker Use Boiler Modification</t>
  </si>
  <si>
    <t>22GBI4006</t>
  </si>
  <si>
    <t>CS Elbow, C.S. Plate Slipon Flange, CS Seamless Reducing Socket, for Blow Down Line Boiler</t>
  </si>
  <si>
    <t>GI Pipe  for Cooling Tower</t>
  </si>
  <si>
    <t>J P Trading Company</t>
  </si>
  <si>
    <t>FSI/2022-23/0585</t>
  </si>
  <si>
    <t>MS Joist (Beam), MS Chequered Plate, for 1) Superheater Support 2) Deater Platform &amp; HP Header Turbine</t>
  </si>
  <si>
    <t>RTE/22-23/164</t>
  </si>
  <si>
    <t>for Enginner Vist on site dt. 03.01.23 for Panel, VFD &amp; Boiler Instruction Checking</t>
  </si>
  <si>
    <t>BE/G-1369/22-23</t>
  </si>
  <si>
    <t>Pressure Patti, 16 Amp Modular Switch, 12 Modular Plate etc. for Powerplant Electric Fitting Turbine Ground Floor  Fitting</t>
  </si>
  <si>
    <t>BE/G-1410/22-23</t>
  </si>
  <si>
    <t>12 Module S. Box, 6 Module Plate etc. , for Elec. Fitting Powerplant Bldg. Ground Floor &amp; Outside of Building</t>
  </si>
  <si>
    <t>Taxi Exp. Nagpur to Factory for Kessels Engg. Mr. Ajay Dumbere</t>
  </si>
  <si>
    <t>Travelling Mr Ajay Dumbere</t>
  </si>
  <si>
    <t>RIC/1353/22-23</t>
  </si>
  <si>
    <t>SA 106 Gr.8 SMLS Pipe, or Blow Down Line Boiler</t>
  </si>
  <si>
    <t>Rec.No. 54908</t>
  </si>
  <si>
    <t>Freight for SMLS Pipe from Rolex Ind. vide Lr.No. 640</t>
  </si>
  <si>
    <t>Rec.No. 54909</t>
  </si>
  <si>
    <t>Freight for SMLS Pipe from Rolex Ind. vide Lr.No. 657</t>
  </si>
  <si>
    <t>Rec.No. 54912</t>
  </si>
  <si>
    <t>Freight for Steel ERW Tube from Motilal Sanghavi vide Lr.No. 656</t>
  </si>
  <si>
    <t>RIC/1329/22-23</t>
  </si>
  <si>
    <t>SA 106 Gr.8 SMLS Pipe, for Boiler Project</t>
  </si>
  <si>
    <t>22GBI4092</t>
  </si>
  <si>
    <t>FCS Socket IBR, MS Forged Plug, for Turbine Steam Line</t>
  </si>
  <si>
    <t>Birla White Cement, Paint Redoxide Ampro, for TG Powerplant Building Painting</t>
  </si>
  <si>
    <t>Jarnailsingh Saini</t>
  </si>
  <si>
    <t>AAPPL/22-23/576</t>
  </si>
  <si>
    <t>2223-06184</t>
  </si>
  <si>
    <t>AC Drive FRN0203E2S-4GB Spare Parts for Electric Installation</t>
  </si>
  <si>
    <t>Pinnacle Industrial Controls Pvt. Ltd.</t>
  </si>
  <si>
    <t>22GBI4088</t>
  </si>
  <si>
    <t>CS Elbow Butterweld 2", for Condenset line boiler</t>
  </si>
  <si>
    <t>Garima Maheshwari</t>
  </si>
  <si>
    <t>Gate Valve, F/E, Gr. WCB, for IBR Line Boiler</t>
  </si>
  <si>
    <t>22GBI4136</t>
  </si>
  <si>
    <t>Forged Carbon Steel Buttwelded Elbow, for Power Plant</t>
  </si>
  <si>
    <t>WH-326/22-23</t>
  </si>
  <si>
    <t>MS Round, TMT, for Boiler Shed Work</t>
  </si>
  <si>
    <t>Civil Work for TG Building Hall, Civil Work for TG Foundation for Turbine</t>
  </si>
  <si>
    <t>for Kessels Engg. Mr. Vipul Shrivastav Loding from 09.01.23 to 31.01.23</t>
  </si>
  <si>
    <t>Paid to Shri Gurukrupa  Lodging, Dinner &amp; Nashta  Exp. 01.02.23 To 04.02.23 to Shri Santosh Shinde from S.S. Control</t>
  </si>
  <si>
    <t>Travelling Gurukrupa Lodging</t>
  </si>
  <si>
    <t>Paid to Honey Resturent for Dinner Exp. Shri Dumbhare, Vipul Kessels Engg.</t>
  </si>
  <si>
    <t>Travelling Honey Resturent</t>
  </si>
  <si>
    <t>PTC/22-23/01772</t>
  </si>
  <si>
    <t>Paint, for Paiting Work Turbine Building Cooling Lone &amp; Building</t>
  </si>
  <si>
    <t>Fright &amp; Hamali for Tpt. Material Steel Tube from Mohan Thakur</t>
  </si>
  <si>
    <t>Freight to Sanjay Fulzele</t>
  </si>
  <si>
    <t>22GBI4112</t>
  </si>
  <si>
    <t>FCS Socket (Coupling) IBR 1/2", MS Forged Plug 1/2", for project Air Line</t>
  </si>
  <si>
    <t>4348/22-23</t>
  </si>
  <si>
    <t>Rubber Met, for Panel Room TG &amp; Boiler</t>
  </si>
  <si>
    <t>Prayag Industries</t>
  </si>
  <si>
    <t>Conveyor Assembly with Belt Roll Idler Frame Column, for Husk Transfer in Boiler</t>
  </si>
  <si>
    <t>L R No. 3130</t>
  </si>
  <si>
    <t>freight for Conveyor Assembly from Prayag Ind. Pune</t>
  </si>
  <si>
    <t>Supreme Cargo Carriers</t>
  </si>
  <si>
    <t>Spair for Vibrating Screen, for Coal Vibrating Screen</t>
  </si>
  <si>
    <t>Globe Engineering Company</t>
  </si>
  <si>
    <t>Freight for Spair for Vibrating Screen</t>
  </si>
  <si>
    <t>Pulper Spare Bearing Housing MS Bracket Cover for Pulper</t>
  </si>
  <si>
    <t>SE22FY-00020</t>
  </si>
  <si>
    <t>Foundation Bolt, for Cable Bridge Column</t>
  </si>
  <si>
    <t>Freight for Oil Centrifuge from Kessels Engg Works P. Ltd</t>
  </si>
  <si>
    <t>TCI Freight</t>
  </si>
  <si>
    <t>22GBI0548</t>
  </si>
  <si>
    <t>SS Pipe, SS Elbow, SS Stub End, for Vaccume Pump Pipe Line</t>
  </si>
  <si>
    <t>Freight paid for ESP Material</t>
  </si>
  <si>
    <t>Freight paid to Fulzele</t>
  </si>
  <si>
    <t>Freight for ESP Item from Applied Electronics</t>
  </si>
  <si>
    <t>VRL Logistics Ltd.</t>
  </si>
  <si>
    <t>Seva Cabz for Taxi Chgs. Kessels Technician Mr. Megh Shyam Gupta Nagpur to Factory</t>
  </si>
  <si>
    <t>Lodge for Lodging Technician S.S. Control Mr. Karan Jagdale</t>
  </si>
  <si>
    <t xml:space="preserve">Shri Gurukrupa </t>
  </si>
  <si>
    <t>Lodging &amp; Boaring Chgs. Dt. 17.02.23 To 18.02.23 for Mr. Megh Shyam &amp; Vikram Shah from Kessels</t>
  </si>
  <si>
    <t>Tiffin Exp. to Technician Mr. Dumbhare &amp; Vipur from Kessels Engg.</t>
  </si>
  <si>
    <t>Courier vide Rec. No. 110174218  ag. Courier Chgs. for Flow Indicator behalf Kessels Engg.</t>
  </si>
  <si>
    <t>Paid to ARC Tpt. vide Rec. No. HM7002243760 dt. 10.01.23  &amp; Future Steel Material Freight behalf (Kessels)</t>
  </si>
  <si>
    <t>Debit Note</t>
  </si>
  <si>
    <t>Freight paid against Kessels</t>
  </si>
  <si>
    <t>Paid to Shri Ajay ag.</t>
  </si>
  <si>
    <t>Freight for MS Plate &amp; Pipe from Ravi Steel Ind. Material</t>
  </si>
  <si>
    <t>X2/0539/22-23</t>
  </si>
  <si>
    <t>Motor CGL IE2 7.50 KNE4 10HP 1440 RPM for Spare</t>
  </si>
  <si>
    <t>1095/22-23</t>
  </si>
  <si>
    <t>Breaker Machine GCB-11-E Dong Chung, FOR Breaking Concrete</t>
  </si>
  <si>
    <t>S1/2223/0000015</t>
  </si>
  <si>
    <t>for ESP Overhauling &amp; Repairing</t>
  </si>
  <si>
    <t>489/22-23</t>
  </si>
  <si>
    <t>SS Pipe, SS Sheet, for 1) Pulpmill Cooling Tower 2) Turbo 3) Pulpmill Gland Follower 4)5)6) Sleeve making</t>
  </si>
  <si>
    <t>freight for Valve from Sigma Industries</t>
  </si>
  <si>
    <t>Inv.no. FY/22-23/103</t>
  </si>
  <si>
    <t>Freight for Paper Roll Assembly from JMC Paper Tech Pvt. Ltd.</t>
  </si>
  <si>
    <t xml:space="preserve"> Shri Chopdaji</t>
  </si>
  <si>
    <t>for Boiler Consultation Chgs.</t>
  </si>
  <si>
    <t>18" Crompton Exhaust Fan, SE Copper Wire for Project Work</t>
  </si>
  <si>
    <t>Yash Electric Co.</t>
  </si>
  <si>
    <t>SE22FY-00375</t>
  </si>
  <si>
    <t>Rubber Sheet, Hole Saw Cutter, for Power Plant Project Elect Work</t>
  </si>
  <si>
    <t>INPT222341173</t>
  </si>
  <si>
    <t>INPT222341221</t>
  </si>
  <si>
    <t>INPT222341226</t>
  </si>
  <si>
    <t>for Air Tkt. Mr. Megh Shyam Delhi to Nagpur dt. 17.02.23 from Kessels</t>
  </si>
  <si>
    <t>for AitTkt Mr. Vikramkumar Shah Nagpur-Bombay-Ah'bad dt. 18.02.23 from Kessels</t>
  </si>
  <si>
    <t>for AitTkt  Mr. Megh Shyam Nagpur To Delhi  dt. 20.02.23 from Kessels</t>
  </si>
  <si>
    <t>for Lodging &amp; Boarding Chgs. 11.02.23 To 24.02.23 to Mr. Vipul Shrivastav from Kessels Delhi</t>
  </si>
  <si>
    <t>for Lodging &amp; Boarding Chgs. 29.01.23 To 24.02.23 to Mr. Ajay Dumbhare from Kessels Delhi</t>
  </si>
  <si>
    <t>22-23/D/5882</t>
  </si>
  <si>
    <t>Electronic Thickness Gauge (QCS)</t>
  </si>
  <si>
    <t>Jasch Industries Limited</t>
  </si>
  <si>
    <t>PTC/22-23/01858</t>
  </si>
  <si>
    <t>Paint Sea Green Syn Enml, for TG Water Pipe line painting</t>
  </si>
  <si>
    <t>INVDM2223000911</t>
  </si>
  <si>
    <t>for Erection &amp; Commissioning Chgs. of Water Treatment Plant</t>
  </si>
  <si>
    <t>Gate Valve 6"x600# F/E Gr WCB &amp; Hamali, for Turbine Inlet Line</t>
  </si>
  <si>
    <t>Freight for QCS System Material to K Khan</t>
  </si>
  <si>
    <t>Shri K. Khan</t>
  </si>
  <si>
    <t>Freight for Pipe Valve Fitting for Turbine from Kessel</t>
  </si>
  <si>
    <t>SE22FY-00302</t>
  </si>
  <si>
    <t>Bituman Washer, Cup Washer, MS Hex Head Screw, for WTP Shade Work</t>
  </si>
  <si>
    <t>SE22FY-00303</t>
  </si>
  <si>
    <t>L Bolt Nut &amp; Washer, for WTP Shade Work</t>
  </si>
  <si>
    <t>Freight for SS Pipe &amp; Sheet from Ganpat Steel</t>
  </si>
  <si>
    <t>2770/22-23</t>
  </si>
  <si>
    <t>Cutting Plier, Combination Plier, Nose Plier, Adjustable Wrench, Double End Ring Spanner, etc. for WTP Project</t>
  </si>
  <si>
    <t>2771/22-23</t>
  </si>
  <si>
    <t>Allen Key, Screw Driver, Nylon Hammer, Pipe Wrench, Circlip Plier Internal, Hammer, for WTP Project</t>
  </si>
  <si>
    <t>2755/22-23</t>
  </si>
  <si>
    <t>Rubber Sheet 3mm Neoprene Pure, for Air Line from New Receiver to Boiler TG</t>
  </si>
  <si>
    <t>2808/22-23</t>
  </si>
  <si>
    <t>MS Weldfast 3.15mm Wleding Electrode, Weldfast Welding Rod, for project work</t>
  </si>
  <si>
    <t xml:space="preserve"> Freight for Tpt. Material Centricleaner, MS Flange, Bend, Pipe for Project</t>
  </si>
  <si>
    <t>Shri Pravin Fulzele</t>
  </si>
  <si>
    <t>MS B/W Elbow, MS Flange, MS Nipple, for Air Compresor Line New</t>
  </si>
  <si>
    <t xml:space="preserve"> Veer Travels &amp; Parcel Services</t>
  </si>
  <si>
    <t>for Parcel Chgs. for Marko Steamjet Material</t>
  </si>
  <si>
    <t>Inv.No. 3293033601</t>
  </si>
  <si>
    <t>freight for Aira Make Valve from Kessels</t>
  </si>
  <si>
    <t>Cr.No. 69145970</t>
  </si>
  <si>
    <t>Freight for Pressure Gauge Steamline fromn Arito Automation</t>
  </si>
  <si>
    <t>Inv. No. 1273048535</t>
  </si>
  <si>
    <t>Freight for Valve IBR Steam Line from Sigma Ind.</t>
  </si>
  <si>
    <t>TCI EXPRESS (XPS)</t>
  </si>
  <si>
    <t>R1001285524</t>
  </si>
  <si>
    <t>Freight for Valve from Perfect Engg.</t>
  </si>
  <si>
    <t>GST Disallowed for Pawansut travel Pvt Ltd</t>
  </si>
  <si>
    <t>Lodging &amp; Boarding Exp to Sandip R Singh for ESP Modering</t>
  </si>
  <si>
    <t>Shri Majoj</t>
  </si>
  <si>
    <t>S1/2223/0000016</t>
  </si>
  <si>
    <t>for Travelling Chgs. for ESP Overhauling &amp; Repairing</t>
  </si>
  <si>
    <t>INPT222307124</t>
  </si>
  <si>
    <t>for Air Tkt. Poona to Nagpur dt. 31.05.22 to Mr. Bhimrao Rajewale visit for Technical Work</t>
  </si>
  <si>
    <t>for Mumbai Boiler Expo-2022 Attend to Shri Manoj Gore, Madhav Dewase &amp; Gaurav Babu</t>
  </si>
  <si>
    <t>Shri Gauravbabu visit to Mumbai for Boiler Expo</t>
  </si>
  <si>
    <t>INPT222330051</t>
  </si>
  <si>
    <t>for Flight Tkt. dt. 29.11.22 Ah'bad to Nagpur to Mr. Vikram Shah &amp; Mr. Rohit Devganiya</t>
  </si>
  <si>
    <t>INPT/222330055</t>
  </si>
  <si>
    <t>for Flight Tkt. dt. 29.11.22 Nagpur to Ah'bad to Mr. Vikram Shah</t>
  </si>
  <si>
    <t>INPT222330145</t>
  </si>
  <si>
    <t>for Flight Tkt. dt. 30.11.22 Nagpur to Ah'bad to Mr. Rohit Devganiya</t>
  </si>
  <si>
    <t>for Vaccume from Premier</t>
  </si>
  <si>
    <t>Shri Pravin Kumar</t>
  </si>
  <si>
    <t>for JCB Hydra Work for Expansion Spares</t>
  </si>
  <si>
    <t>Shri Rajkaran, Suraj Singh</t>
  </si>
  <si>
    <t>Freight for Termowell Stub from Rolex Industries</t>
  </si>
  <si>
    <t>WH-330/22-23</t>
  </si>
  <si>
    <t>Birla White Cement, White Exterior Primer, For building Painting</t>
  </si>
  <si>
    <t>WH-360/22-23</t>
  </si>
  <si>
    <t>MS Pipe, MS Angle/Channel, GP/GC/Profile/Sheet</t>
  </si>
  <si>
    <t>4515/22-23</t>
  </si>
  <si>
    <t>Insulation Tape, for Powerplant Electric Cabling Work (Project)</t>
  </si>
  <si>
    <t>Freight for Gate Valve from Sigma Ind.</t>
  </si>
  <si>
    <t>Freight for Electronic Thickness Gauge from Jasch Ind. Ltd.</t>
  </si>
  <si>
    <t>Chawla Express Cargo</t>
  </si>
  <si>
    <t>CPVC Pipe, Zoloto Forge Ball Valve, GI Socket, GI Elbow, GI, union, etc. for WTE Line and Ash Handling Line Work</t>
  </si>
  <si>
    <t>AE-129</t>
  </si>
  <si>
    <t>Consistency Control Loop, Steam Control Loop</t>
  </si>
  <si>
    <t>Accurate Engineering</t>
  </si>
  <si>
    <t>Freight for Consistancy &amp; Steam Control Loop from Accurate Engg.</t>
  </si>
  <si>
    <t>`22GBI4447</t>
  </si>
  <si>
    <t>SS Stub End, FCS Weldneck Flanged, for 1) HDC to Turbo Pulpmill Line 2) Turbine Steam Line</t>
  </si>
  <si>
    <t>Freight for Gate Valve from Sigma Ind. (Sigma Industries)</t>
  </si>
  <si>
    <t>Air Condition</t>
  </si>
  <si>
    <t>Ultraaweather Engineering Services</t>
  </si>
  <si>
    <t>22GBI4529</t>
  </si>
  <si>
    <t xml:space="preserve">CPVC Pipe, Coupling, Adaptor, MS Flange, Elbow, for Ash Handling </t>
  </si>
  <si>
    <t>4611/22-23</t>
  </si>
  <si>
    <t xml:space="preserve">Rubber Mat, for PCC Panel Room for Turbine </t>
  </si>
  <si>
    <t>CC/HPML/22-23/009</t>
  </si>
  <si>
    <t>TG Foundation-Column work</t>
  </si>
  <si>
    <t>CC/HPML/22-23/011</t>
  </si>
  <si>
    <t>Cable Tray Foundation for Electric Installation</t>
  </si>
  <si>
    <t>CC/HPML/22-23/012</t>
  </si>
  <si>
    <t>WTP Foundation Work</t>
  </si>
  <si>
    <t>CC/HPML/22-23/013</t>
  </si>
  <si>
    <t>Civil Work of FD Fan &amp; ID Fan, Misc</t>
  </si>
  <si>
    <t>CC/HPML/22-23/010</t>
  </si>
  <si>
    <t>0116/S/2022-23</t>
  </si>
  <si>
    <t>Fabrication &amp; Errection of Steam Pipe Line, Fabrication &amp; Errection of Steam Header, Fabrication &amp; Fitting Drain Assembly, Errection &amp; Fitting Valve Complete Work, Charges for Permission Director of Steam Boiler Mum</t>
  </si>
  <si>
    <t>0117/S/2022-23</t>
  </si>
  <si>
    <t>Fabrication &amp; Errection of Piping Support, Fabrication &amp; Errection of Deairator Piping Support, Fabrication &amp; Errection of Shade Modification Work, Fabrication &amp; Errection of Deaerator Piping WithPRS, Labour Chgs. for NIBR Pipe Line Bed Coil Dummy 4 T, Paid to All Govt. Challan</t>
  </si>
  <si>
    <t>22GBI4363</t>
  </si>
  <si>
    <t>SS Check Valve DCV 2'', for Boiler RO Plant DM Water Line</t>
  </si>
  <si>
    <t>B001443</t>
  </si>
  <si>
    <t>for Room Tariff &amp; Service to Shri Megh Shyam Gupta Kessels Engg.</t>
  </si>
  <si>
    <t>Hotel Darshan Towers</t>
  </si>
  <si>
    <t>RKES\22-23\209</t>
  </si>
  <si>
    <t>for Liasioning Work Final Bill making application for sanction of regular contract demand of 500kva at 33kv level &amp; Stand By Demand 1500kva &amp; Drawing 33kv level &amp; MSEDCL Office Inspection &amp; Technical Sanction</t>
  </si>
  <si>
    <t>CI Ball Valve 1", UPvc Flange 2", FOR 1) Fire Fighting Line 2) Boiler RO Plant Line</t>
  </si>
  <si>
    <t>SE22FY-00699</t>
  </si>
  <si>
    <t>H.T. Hex Head Screw 24x140 With Nut Unbrako, H.T. Hex Head Screw 20x90 With Nut Unbrako, for Desuperheater Work Boiler Work IBR</t>
  </si>
  <si>
    <t>SE22FY-00698</t>
  </si>
  <si>
    <t>H.T. Hex Head Screw 12x65 with Nut Unbrako, H.T. Hex Head Screw 30x190 with Nut Unbrako, for Desuperheater Work Boiler Work IBR</t>
  </si>
  <si>
    <t>4805/22-23</t>
  </si>
  <si>
    <t>S.S. Spiral Wound Gasket 8" Class 300, S.S. Spiral Wound Gasket 8" Class 600, for De-Superheater Work, Boiler Work IBR</t>
  </si>
  <si>
    <t>4800/22-23</t>
  </si>
  <si>
    <t>CI Butterfly Valve 4" SS Disc, for QCS System</t>
  </si>
  <si>
    <t>4828/22-23</t>
  </si>
  <si>
    <t>NRC Check Valve SS Spring Loaded 3" for QCS System</t>
  </si>
  <si>
    <t>paid to virendra Sharma against QCS system Tile fitting exp</t>
  </si>
  <si>
    <t>Virendra Sharma-Tile fitting</t>
  </si>
  <si>
    <t>22GBI4654</t>
  </si>
  <si>
    <t>S.S. Short Stubend 3", M.S. Flange 3XE, for QCS Line</t>
  </si>
  <si>
    <t>2022-23/201</t>
  </si>
  <si>
    <t>Telephone Instrument Grandstream IP Phone, Lan Networking Switch-04 Port, Installation Networking, Training, for Power Plant Building &amp; Turbin building installation</t>
  </si>
  <si>
    <t>Eetamax Eels 50W ML FL Led Light, Eetamax Eels 100W ML FL Led Light, for Boiler House &amp; CHP</t>
  </si>
  <si>
    <t>BE/G-1617/22-23</t>
  </si>
  <si>
    <t>Magik 40W LED Batten, for QCS Cabin</t>
  </si>
  <si>
    <t>Water Tank 4 Layer 2000 Ltr, for QCS System</t>
  </si>
  <si>
    <t>4871/22-23</t>
  </si>
  <si>
    <t>Brass Elbow with Nut &amp; Ferule at Both End, Brass Bush, Aluminium Rivit, for instrumentation airline &amp; turbine work Ash handling Work</t>
  </si>
  <si>
    <t>PTC/22-23/02069</t>
  </si>
  <si>
    <t>Paint Cosmos Silver Spray, for Railing work tubine building</t>
  </si>
  <si>
    <t>for The Structural Consultancy Service Proposed Power Distribution Plant &amp; Panel Room</t>
  </si>
  <si>
    <t>4815/22-23</t>
  </si>
  <si>
    <t>S.S. Disc Check Valve 4" Spring Loaded, for QCS System</t>
  </si>
  <si>
    <t>22GBI4604</t>
  </si>
  <si>
    <t>C.S.Plate Slipon Flange, CS Plate Slipon Raised Face Flange, CS Plate Blind Size, FCS Socket IBR, FCS Slipon Raised Face Flange, for Shut Down Work Boiler Desuperheater Work</t>
  </si>
  <si>
    <t>HO/2352/22-23</t>
  </si>
  <si>
    <t>Clariannt 6 Way Mod. Silver Line Gang Box, Western Vega 6Amp 2in One Socket, etc. for QCS System</t>
  </si>
  <si>
    <t>CC/HPML/22-23/015</t>
  </si>
  <si>
    <t>4983/22-23</t>
  </si>
  <si>
    <t>MS Flange 6" Table E, SS Bend Short, SS Neck Ring, for QCS System</t>
  </si>
  <si>
    <t>Daikin AC 5.5 Ton Ductable AC, for Turbine Building Pannel Room AC System  (Daikin Model No. Ind.fdr65frv16 &amp; Out.rr65fry16</t>
  </si>
  <si>
    <t>HO/2344/22-23</t>
  </si>
  <si>
    <t>Shielded Armoured Cable 2 Core, for QCS System</t>
  </si>
  <si>
    <t>HO/2347/22-23</t>
  </si>
  <si>
    <t>Copper Flexible Cable, Copper Lugs Pin Type, Siemens Make MCB, for QCS System</t>
  </si>
  <si>
    <t>for 16 AMP Top for QCS</t>
  </si>
  <si>
    <t>CC/HPML/22-23/016</t>
  </si>
  <si>
    <t>for Civil Work for Meter Room Foundation</t>
  </si>
  <si>
    <t>X2/3326/22-23</t>
  </si>
  <si>
    <t>Copper Flexible Capbe Shilded Type 2 Core Polycab, for QCS System</t>
  </si>
  <si>
    <t>HO/2414/22-23</t>
  </si>
  <si>
    <t>Siemens Make Contactor, for Substation work</t>
  </si>
  <si>
    <t>X2/3328/22-23</t>
  </si>
  <si>
    <t>Insulation Tape, Socket, Insulation Tape, etc. for substation work</t>
  </si>
  <si>
    <t>for 2 Model Box, Angle Holder, 6Amp  Switch &amp; 4x4 box for QCS</t>
  </si>
  <si>
    <t xml:space="preserve">Shrikrupa Electrical </t>
  </si>
  <si>
    <t>Earthing Pit Work 7 fit for QCS Work</t>
  </si>
  <si>
    <t>Manoj Gore</t>
  </si>
  <si>
    <t>HO/2432/22-23</t>
  </si>
  <si>
    <t>Wall Mounted Fan, Pedestal Fan, for TG Panel Room &amp; Aux Pannel Room</t>
  </si>
  <si>
    <t>Microtek Online UPS, SMF Battery 42 AH 12V Exide, for QCS System</t>
  </si>
  <si>
    <t>Turnkey Inc.</t>
  </si>
  <si>
    <t>HO/2415/22-23</t>
  </si>
  <si>
    <t>Cable Gland, Aluminium Lugs, for Substation cabling work</t>
  </si>
  <si>
    <t>CC/HPML/22-23/014</t>
  </si>
  <si>
    <t>for Civil Work of Bathroom &amp; Septic Tank</t>
  </si>
  <si>
    <t>INPT222346447</t>
  </si>
  <si>
    <t>for Air Tkt. Ahmedabad to Nagpur dt. 17.02.23 to Shri Vikramkumar Shah from Kessels</t>
  </si>
  <si>
    <t>Shri Niraj Patel</t>
  </si>
  <si>
    <t>Dinner Exp. for QCS System</t>
  </si>
  <si>
    <t>for Lodging Exp. dt. 16.03.23 Mr. Hirendrakumar Patel QCS Engg.</t>
  </si>
  <si>
    <t>for Lodging &amp; Boarding to Shri Ajay Dumbhare Kessesls Engg. 21.03.23 To 26.03.23</t>
  </si>
  <si>
    <t>Interest to Bank on T/L ( 73 Lakhs)....9457</t>
  </si>
  <si>
    <t>Interest on GECLBank T/L (1.46 Cr).....1281</t>
  </si>
  <si>
    <t>Hydra Work for Transformer Meter Shifting</t>
  </si>
  <si>
    <t>Suraj Singh</t>
  </si>
  <si>
    <t>Hydra Work for Boiler Work</t>
  </si>
  <si>
    <t>Freight for Boiler Work Instrument for Winding M/c</t>
  </si>
  <si>
    <t>Shri Mohan Thakur</t>
  </si>
  <si>
    <t>823/22-23</t>
  </si>
  <si>
    <t>SS Pipe, for Pump Mill &amp; Paper Machine Line</t>
  </si>
  <si>
    <t>822/22-23</t>
  </si>
  <si>
    <t>SS Short Coller, SS Bend, SS ERW Pipe, &amp; Sheet, for Pump Mill &amp; Paper Machine Line</t>
  </si>
  <si>
    <t>Freight for SS Fitting, for Pump Mill &amp; Paper Machine</t>
  </si>
  <si>
    <t>Freight for SS for SS welded Pipe/Tube from Ganpat steel</t>
  </si>
  <si>
    <t>Aditya Techzone, Faridabad.</t>
  </si>
  <si>
    <t>Unitech Machineries</t>
  </si>
  <si>
    <t>SBR Steels Pvt. Ltd.,Aurangabad</t>
  </si>
  <si>
    <t>Ganga Iron &amp; Steel Trading Co.Ltd.</t>
  </si>
  <si>
    <t>Bearing Centre</t>
  </si>
  <si>
    <t>Premier India Enterprises</t>
  </si>
  <si>
    <t>Aluminium Armoured Cable 4 Sqmm x 4 Core</t>
  </si>
  <si>
    <t>for Sand, Metal &amp; Bricks</t>
  </si>
  <si>
    <t>Bank Loan Processing , Unfront , Mortgage Documentation Fees against sanctioned T/L  of 17.83 Crore capitalize on account</t>
  </si>
  <si>
    <t>for Rewinder Shaftless Arrangement with Pneumatic Cylinders, Chain Sprocket Arrangement with Stands and Accessories</t>
  </si>
  <si>
    <t>FSI/2021-22/0438</t>
  </si>
  <si>
    <t>MS Plate, MS Tube, for shed work</t>
  </si>
  <si>
    <t>Shri Gurukripa Lodge for Lodging Chgs. to Shri Santosh B. Shinde for Power Plant Work</t>
  </si>
  <si>
    <t>Shri Gurukripa Lodge</t>
  </si>
  <si>
    <t>D1793</t>
  </si>
  <si>
    <t>Diesel Purchase 200 Ltr. for Panel - Transformer</t>
  </si>
  <si>
    <t>Suraj Petroleums</t>
  </si>
  <si>
    <t>D1287</t>
  </si>
  <si>
    <t>D1593</t>
  </si>
  <si>
    <t>D2565</t>
  </si>
  <si>
    <t>D2951</t>
  </si>
  <si>
    <t>Diesel Purchase 150 Ltr. for Panel - Transformer</t>
  </si>
  <si>
    <t>D2347</t>
  </si>
  <si>
    <t>D2656</t>
  </si>
  <si>
    <t>D2979</t>
  </si>
  <si>
    <t>D3328</t>
  </si>
  <si>
    <t>D3635</t>
  </si>
  <si>
    <t>D3915</t>
  </si>
  <si>
    <t>D3960</t>
  </si>
  <si>
    <t>S/23-24/66</t>
  </si>
  <si>
    <t>CCI Make 1.1 KV E XLPE 10cx2.5 Sq.mm Copper Ar.Cabl</t>
  </si>
  <si>
    <t>Integrated Marketing Inc.</t>
  </si>
  <si>
    <t>D4254</t>
  </si>
  <si>
    <t>D4533</t>
  </si>
  <si>
    <t>D4875</t>
  </si>
  <si>
    <t>D5092</t>
  </si>
  <si>
    <t>D5352</t>
  </si>
  <si>
    <t>for Plastic Panni Purchase Panel Wrapping</t>
  </si>
  <si>
    <t>D5646</t>
  </si>
  <si>
    <t>D9237</t>
  </si>
  <si>
    <t>D4852</t>
  </si>
  <si>
    <t>D5935</t>
  </si>
  <si>
    <t>D6821</t>
  </si>
  <si>
    <t>01/W/2023-24</t>
  </si>
  <si>
    <t>Labour Chgs. mfg. of water wall tubes of size 63.5mm OD. x 4.06mm thk x 2500mm long with both end with hydraulic test &amp; approved by Boiler Inspector of Nagpur &amp; Mumai with IBR (Tds Deduct on payment)</t>
  </si>
  <si>
    <t>FSI/2023-24/001</t>
  </si>
  <si>
    <t>MS Angle, MS Chequered Plate, MS Plate HR 4mm, for 1)3) Turbine Building Electrical Panel Room 2) Felt &amp; Dryer Screen Rack</t>
  </si>
  <si>
    <t>23GBI0040</t>
  </si>
  <si>
    <t>SS Pipe 304 Welded ERW 4", SS Pipe 304 Welded ERW 2", for QCS System for Size Kitchen</t>
  </si>
  <si>
    <t>D6211</t>
  </si>
  <si>
    <t>D2510</t>
  </si>
  <si>
    <t>D7428</t>
  </si>
  <si>
    <t>0040/23-24</t>
  </si>
  <si>
    <t>SE23FY-00016</t>
  </si>
  <si>
    <t>SE23FY-00020</t>
  </si>
  <si>
    <t>Foundation Bolt Nut, for 1) Rise Husk Conveyor Foundation 2) ID Fan Foundation</t>
  </si>
  <si>
    <t>0065/23-24</t>
  </si>
  <si>
    <t>Carbide Tip Tool, for Lathe Machine Tools</t>
  </si>
  <si>
    <t>0095/23-24</t>
  </si>
  <si>
    <t>SS Nut Bolt, for Maint Work &amp; Boiler Super Heater Coil</t>
  </si>
  <si>
    <t>PTC/22-23/00029</t>
  </si>
  <si>
    <t>Paint Sea Green Syn Enml, for Machine Painting work</t>
  </si>
  <si>
    <t>0128/23-24</t>
  </si>
  <si>
    <t>MS Bend 8" Short Class, MS Flange</t>
  </si>
  <si>
    <t>0129/23-24</t>
  </si>
  <si>
    <t>PTC/22-23/00026</t>
  </si>
  <si>
    <t>Paint Alluminium 4ltr, for Machine Painting work</t>
  </si>
  <si>
    <t>0195/23-24</t>
  </si>
  <si>
    <t>Gland Packing 12mm Style-1100, for Maint Work</t>
  </si>
  <si>
    <t>SE23FY-00040</t>
  </si>
  <si>
    <t>Shovel Tata (Belcha), Garden Pipe, Hydraulic Hose Assly, Cotton Waste, for Boiler &amp; Maint.</t>
  </si>
  <si>
    <t>Woven Fabric 40Mesh x 42", for Machine Use</t>
  </si>
  <si>
    <t>PS/104</t>
  </si>
  <si>
    <t>Punamchand &amp; Sons ( Jaliwala)</t>
  </si>
  <si>
    <t xml:space="preserve"> Commercial LPG Gas Cylender Refilling for Factory</t>
  </si>
  <si>
    <t>0239/23-24</t>
  </si>
  <si>
    <t>0240/23-24</t>
  </si>
  <si>
    <t>Shri Madanlal</t>
  </si>
  <si>
    <t>Oxygen Cylender, Argan Cylender Freight</t>
  </si>
  <si>
    <t>PTC/22-23/00068</t>
  </si>
  <si>
    <t>Paint Black Different Color, for Machine Painting work</t>
  </si>
  <si>
    <t>PTC/22-23/00071</t>
  </si>
  <si>
    <t>Industrial Reducer 10 Ltr., for Machine Painting work</t>
  </si>
  <si>
    <t>GSB/127</t>
  </si>
  <si>
    <t>ESSAR ENTERPRISES</t>
  </si>
  <si>
    <t>for Wire Part Spring Making Brest Roll Hanging</t>
  </si>
  <si>
    <t>FSI/2023-24/0022</t>
  </si>
  <si>
    <t>MS Plate HR 12mm, for craft Rail Path Making</t>
  </si>
  <si>
    <t>Hydra Work Boiler Duckting  Shifting</t>
  </si>
  <si>
    <t>SE23FY-00048</t>
  </si>
  <si>
    <t>SS Hex Head Screw, for wire part use manifold</t>
  </si>
  <si>
    <t>Shri Narendra Meshram</t>
  </si>
  <si>
    <t>Freight for Hydrolic Pump from Nav Durga</t>
  </si>
  <si>
    <t>DHO/0436</t>
  </si>
  <si>
    <t>18" Exhaust Fan, for Boiler use</t>
  </si>
  <si>
    <t>G1452122</t>
  </si>
  <si>
    <t>Dosing Pump Flow Cap. 2000 LPH (ATM041000PP-Duplex), for TRPL Dosing</t>
  </si>
  <si>
    <t>21GBI0861</t>
  </si>
  <si>
    <t>M-168</t>
  </si>
  <si>
    <t>SS Round/Angle/Channel/ Bright Bar 410-95, SS Round/Angle/Channel/ Bright Bar 410-120, MS/EN8 Round Bar/TMT Bar EN8-40, for for Rewinder Shaftness</t>
  </si>
  <si>
    <t>227/21-22</t>
  </si>
  <si>
    <t>GP/CC Sheet, for new Backside shade</t>
  </si>
  <si>
    <t>PTC/21-22/00669</t>
  </si>
  <si>
    <t>Thinner, Paint, for new shade painting</t>
  </si>
  <si>
    <t>NN21Y-1162</t>
  </si>
  <si>
    <t>MS Pipe 50x50x2.9 mm, for Backside shade</t>
  </si>
  <si>
    <t>Heater 50 with Ledge 20 Fag, for Bearing Mounting to heater</t>
  </si>
  <si>
    <t>MH/6737/21-22</t>
  </si>
  <si>
    <t>Motor CGL TEFC 15KW/20HP 2 Pole Foot Mntg,</t>
  </si>
  <si>
    <t>Frieght for S. V. Traders for Pump</t>
  </si>
  <si>
    <t>for Road Foundation, Flooring Work, etc.</t>
  </si>
  <si>
    <t>WH-337/21-22</t>
  </si>
  <si>
    <t>TMT Bar 10mm, for Shed work</t>
  </si>
  <si>
    <t>GST Disallowed</t>
  </si>
  <si>
    <t>564/21-22</t>
  </si>
  <si>
    <t>GP/CC Sheet, for shed work</t>
  </si>
  <si>
    <t>MS Nut Bolt Washer, L Hook with Nut &amp; Katori Washer, Bituman Washer, for shed work</t>
  </si>
  <si>
    <t>Upvc Pipe, Upvc Bend, Socket, Tee, PVC Solution, for Water line from Bore No. 3 to Shaftner</t>
  </si>
  <si>
    <t>Carriage Inward (against FRT)</t>
  </si>
  <si>
    <t>Lalit Enterprises (Courier)</t>
  </si>
  <si>
    <t>21GBI3671</t>
  </si>
  <si>
    <t>MS/EN8 Round Bar EN8 90dia x 1550, MS Pipe 5" B Class, for Sr. No. 1) Vibrating Screen 2) P A Line</t>
  </si>
  <si>
    <t>Carriage Inward (against FRT) (Associated Road Carrirer &amp; Avinash Cargo)</t>
  </si>
  <si>
    <t>Associated Road Carrirer &amp; Avinash Cargo</t>
  </si>
  <si>
    <t>WH-460/21-22</t>
  </si>
  <si>
    <t>Paint Redoxide Ampro 20 Ltr, Brush 710 AP Tools 1 PC, for Painting</t>
  </si>
  <si>
    <t>DELGI/0105</t>
  </si>
  <si>
    <t>Service Kit EG22P-EG45, Grease-EM Unirex N3, Elgi Air Lube XD Oil 20 Ltr, for Air Compressor for electrical installation</t>
  </si>
  <si>
    <t>DELGI/0914</t>
  </si>
  <si>
    <t>ELGI Service Kit EG22P-EG45, ELGI Valves Kit EG22P-EG45, ELGI Grease-EM Unirex N3, Elgi Air Lube XD Oil 20 Ltr, for ELGI Compresor for Electrical installation</t>
  </si>
  <si>
    <t>DSER/0181</t>
  </si>
  <si>
    <t>for ELGI Compresor Servicing Model EG 30-7.5</t>
  </si>
  <si>
    <t>SE22FY-00044</t>
  </si>
  <si>
    <t>Cutting Hose Pipe Red &amp; Blue 8mm ISI, for Cutting Torch</t>
  </si>
  <si>
    <t>Freight for Super Heater Spares from SBR Steel</t>
  </si>
  <si>
    <t>Freight for Prayag Ind. Material</t>
  </si>
  <si>
    <t>for Plastic Panni for Turbine Covering</t>
  </si>
  <si>
    <t>Dinesh Traders</t>
  </si>
  <si>
    <t>1553/22-23</t>
  </si>
  <si>
    <t>Hacksaw Frame Heavy Duty, Combination Plier 1621-8, Nose Plier 6", Wire Stripper WS, INS Screw Driver 833, Screw Driver 825 Insulated, for project work</t>
  </si>
  <si>
    <t>for Plastic Panni for Turbine Electric pannel</t>
  </si>
  <si>
    <t>PTC/22-23/00656</t>
  </si>
  <si>
    <t>Paint SM Grey Industrial 20Ltr, Paint BP Redoxide Primer 20Ltr, Industrial Reducer 20 Ltr., Brush Abc Star 4", for Truss painting work</t>
  </si>
  <si>
    <t>FSI/2022-23/0270</t>
  </si>
  <si>
    <t>MS Angle 40x5, MS Flat 20x5, MS Tube 42 OD, MS Plate HR 6mm, for 1)2)3) Rice Husk Conveyor Platform 4) Wind Box Fabrication</t>
  </si>
  <si>
    <t>Pneumatic Cylinder RMS 150x400, Pneumatic Cylinder RMS 150x300, for Rewinder Ejector Arrangement</t>
  </si>
  <si>
    <t>SE22FY-00286</t>
  </si>
  <si>
    <t>Foundation Bolt 3/4"x12" with Nut &amp; Washer, SS Allen Screw Big As Per Sample, SS Allen Screw Small As Per Sample, SS CSK Allen Screw As Per Sample, for 1) Project Work 2)3)4) Rewinder Knife</t>
  </si>
  <si>
    <t>Freight Pnuematic Cylinder from Unitech Machinery</t>
  </si>
  <si>
    <t>FSI/2022-23/0293</t>
  </si>
  <si>
    <t>MS Flat 50x10, for Maint Dept.</t>
  </si>
  <si>
    <t>2402/22-23</t>
  </si>
  <si>
    <t>SE22FY-00280</t>
  </si>
  <si>
    <t>HSS Taper Shank Twist Drill 34mm, Cold Vulcanizing Cement, for 1) Wind Box Fabrication 2) Conveyor Belt Jointing</t>
  </si>
  <si>
    <t>Pneumatic Cylinder RMS 150x400, for Rewinder Ejector Arrangement</t>
  </si>
  <si>
    <t>Hamali for AC sheet &amp; Loha</t>
  </si>
  <si>
    <t>Hydra Work for Boiler AC Sheet</t>
  </si>
  <si>
    <t>2810/22-23</t>
  </si>
  <si>
    <t>Number Punch 0-9 (5/8), Letter Punch A to Z (5/8), for Marking</t>
  </si>
  <si>
    <t>2223-05104</t>
  </si>
  <si>
    <t>Drive FRN0085E2S-4GB Fuji Make, for Chest Pump No. 8 &amp; Back Water Pump No.3</t>
  </si>
  <si>
    <t>Freight for SS Nozzle for Boiler Bed from Industrial Boiler</t>
  </si>
  <si>
    <t>HO/1749/22-23</t>
  </si>
  <si>
    <t>Rotory Hammer Drill Machine GBH-220 Bosch, for Anchor Bolting work</t>
  </si>
  <si>
    <t>HO/0541/22-23</t>
  </si>
  <si>
    <t>Cable Tie 300mm Heavy Duty, for Electric installation</t>
  </si>
  <si>
    <t>HO/1407/22-23</t>
  </si>
  <si>
    <t>2223-04115</t>
  </si>
  <si>
    <t>Fuji Electric AC Drive 30KW/40HP, for Electric Dept</t>
  </si>
  <si>
    <t>RGA/2223CR/35</t>
  </si>
  <si>
    <t>Industrial Oxygen Gas (RMG) for project</t>
  </si>
  <si>
    <t>RGA/2223CR/36</t>
  </si>
  <si>
    <t>Argon Gas, for boiler project work</t>
  </si>
  <si>
    <t>CC/HPML/23-24/01</t>
  </si>
  <si>
    <t>for Civil Work for Cabin Work Inside the Shed</t>
  </si>
  <si>
    <t>89/23-24</t>
  </si>
  <si>
    <t xml:space="preserve">Civil Work of Meter Room </t>
  </si>
  <si>
    <t>90/23-24</t>
  </si>
  <si>
    <t>RGA/2223CR/63</t>
  </si>
  <si>
    <t>RGA/2223CR/90</t>
  </si>
  <si>
    <t>Industrial Oxygen Gas (RMG) &amp; Argon Gas, for Boiler &amp; Maint.</t>
  </si>
  <si>
    <t>Industrial Oxygen Gas (RMG) for Boiler</t>
  </si>
  <si>
    <t>for DM Plant Servicing &amp; Tranining Chgs.</t>
  </si>
  <si>
    <t>Nature Watertreat Services</t>
  </si>
  <si>
    <t>Freight  for Bricks &amp; Refrectory Mtrl from Mahi Ent. vide Lr.no. 5451 Veh.No. MH-31 CQ-4955</t>
  </si>
  <si>
    <t>Asmita Road Carrier</t>
  </si>
  <si>
    <t>0272/23-24</t>
  </si>
  <si>
    <t>Aloxite  Emery Tape Roll 2" No.120, for Maint Work</t>
  </si>
  <si>
    <t>0297/23-24</t>
  </si>
  <si>
    <t>Accoset-50, White Heat K, Thermotex, Ceramics Blanket, Ceramic Paper, Standard Fire Bricks IS-8, for Boiler Refractory material</t>
  </si>
  <si>
    <t>Mahi Enterprises</t>
  </si>
  <si>
    <t>Fire Clay Powder, for Boiler Refractory material</t>
  </si>
  <si>
    <t>Freight  for Bricks &amp; Refrectory Mtrl from Mahi Ent.</t>
  </si>
  <si>
    <t>Standard Fire Bricks IS-8, End Arch Bricks, Side Arch Bricks, Tiles, Firecrete Castable, for Boiler Refractory Material</t>
  </si>
  <si>
    <t>WH-30/22-23</t>
  </si>
  <si>
    <t>Paint SM Grey Industrial, Birla White Cement, Paint TE3 TE, Paint Super White TE, for 1)2) Machine Painting &amp; Wall Compound 3)4) Boiler Panel Room Innder Side</t>
  </si>
  <si>
    <t>0307/23-24</t>
  </si>
  <si>
    <t>M Seal, for Maint. &amp; Other Work</t>
  </si>
  <si>
    <t>23GBI0351</t>
  </si>
  <si>
    <t>Forged Steel Globe Valve 1", for Boiler Blow Down Line</t>
  </si>
  <si>
    <t>Insulyte -7 (25 Kg Bag), Boiler Refratory Material</t>
  </si>
  <si>
    <t>WH-35/22-23</t>
  </si>
  <si>
    <t>Paint EB 10 PGE 4 Ltr, Paint Alluminium 4ltr, Industrial Reducer 5 ltr, for painting work M/s &amp; Boiler</t>
  </si>
  <si>
    <t>PTC/22-23/00108</t>
  </si>
  <si>
    <t>Paint SM Gry-G 10 Ltr., Paint White Pge 10 Ltr, Paint Golden Yellow 1 Ltr, Brush Abc Star 4", for Boiler Painting work</t>
  </si>
  <si>
    <t>FSI/2023-24/0029</t>
  </si>
  <si>
    <t>MS Channel 150x75, MS Joist (Beam) 150x75, MS Chequered Plate 4mm, MS Angle 50x6, for Boiler</t>
  </si>
  <si>
    <t>23GBI0391</t>
  </si>
  <si>
    <t>CS Elbow ASTM A234 Grade Size 200mm(8"), for Superheater Pipeline</t>
  </si>
  <si>
    <t>FSI/2023-24/0030</t>
  </si>
  <si>
    <t>GP/GC Sheet SS-304 3mm Thk 1250x2500x3, for Wire Part Spring Making, Brest Roll Hanging Work</t>
  </si>
  <si>
    <t>D298/23-24</t>
  </si>
  <si>
    <t>Cutting Wheel 4" x 2.5mm, Cutting Wheel 7" Bosch, SS Coller 5", for Sr.No.1)2) Maint Work 3) Pulp Mill line</t>
  </si>
  <si>
    <t>0322/23-24</t>
  </si>
  <si>
    <t>M.S. Flange, for Pipeline Work</t>
  </si>
  <si>
    <t>"Intermediate Trunk" for Bucket Elevator, CHP Plant Boiler</t>
  </si>
  <si>
    <t>SE23FY-00056</t>
  </si>
  <si>
    <t>Expansion Cloth, Rubber Sheet 4mm Neoprene, for 1) Boiler 2) Pipe Line work</t>
  </si>
  <si>
    <t>SE23FY-00057</t>
  </si>
  <si>
    <t>Hex Head Screw 30x65,  for 1st Size Press</t>
  </si>
  <si>
    <t>SE23FY-00058</t>
  </si>
  <si>
    <t>0336/23-24</t>
  </si>
  <si>
    <t>SS Weldfast Welding Rod 3.15mm, Rubber Sheet 4mm Neoprene, for 1) Welding Work 2) M/c Packing</t>
  </si>
  <si>
    <t>Boiler Consulting Chgs.</t>
  </si>
  <si>
    <t>Shri Madanlal Khurana</t>
  </si>
  <si>
    <t>Freight for Oxygen Cylender</t>
  </si>
  <si>
    <t xml:space="preserve"> Freight for S. S. Material veh.No. MH-40 Y-4019</t>
  </si>
  <si>
    <t>Shri Aub Khan</t>
  </si>
  <si>
    <t>RGA/2223CR/120</t>
  </si>
  <si>
    <t>Industrial Oxygen Gas (RMG), for Maint &amp; Boiler Work</t>
  </si>
  <si>
    <t>Freight for Intermediate Trunk" for Bucket Elevator CHP Plant Boiler from Globe Engg. vide Veh. No. GJ-15 AV-2030</t>
  </si>
  <si>
    <t>Karan Roadlines, Vapi</t>
  </si>
  <si>
    <t>GSB/113</t>
  </si>
  <si>
    <t>SS Round Bar 304 x 20mm, for Boiler Superheater Coil</t>
  </si>
  <si>
    <t>Rakesh Trading Corporation</t>
  </si>
  <si>
    <t>SE23FY-00059</t>
  </si>
  <si>
    <t>Hex Head Screw 30x65, for size press</t>
  </si>
  <si>
    <t>PTC/22-23/00121</t>
  </si>
  <si>
    <t>Paint Sea Green Syn Enml 20 Ltr, Paint SM Grey Industrial 20Ltr, Paint SM Gry-G 10 Ltr., Industrial Reducer 10 Ltr., for Machine Painting work</t>
  </si>
  <si>
    <t>0368/23-24</t>
  </si>
  <si>
    <t>SS Ball Valve 1.1/2", Cutting Wheel 4" x 2.5mm, Cutting Wheel 7" Bosch, for 1) Size Press Starch line Pump 2)3) Maint. Work</t>
  </si>
  <si>
    <t>PTC/22-23/00001</t>
  </si>
  <si>
    <t>Paint Aluminium Apco Alu 4 Ltr, for machine painting</t>
  </si>
  <si>
    <t>WH-41/22-23</t>
  </si>
  <si>
    <t>Plastic Ghamela 16 No., for Boiler</t>
  </si>
  <si>
    <t>SE23FY-00064</t>
  </si>
  <si>
    <t>MS Hex Head Screw 3/8" x 11/2", MS Hex Head Screw 1/2"x11/2", Wire Brush, Pvc Flexible Hose 1", for manit. Work</t>
  </si>
  <si>
    <t>0388/23-24</t>
  </si>
  <si>
    <t>Asbestos Rope 6mm Champion, for Boiler</t>
  </si>
  <si>
    <t>Freight for Kessels Engg. Spares</t>
  </si>
  <si>
    <t>13155/2324</t>
  </si>
  <si>
    <t>CC Bolt Nut Washer 6x25mm, CC Bolt Nut Washer 6x50mm, Anchor Bolt 16x100M, Anchor Bolt 16x150M, for 1)2) Boiler Panel 3)4) Maint. Work</t>
  </si>
  <si>
    <t>0404/23-24</t>
  </si>
  <si>
    <t>SS Ball Valve 1", Maint. Work</t>
  </si>
  <si>
    <t>RGA/2223CR/142</t>
  </si>
  <si>
    <t>0416/23-24</t>
  </si>
  <si>
    <t>0420/23-24</t>
  </si>
  <si>
    <t>0433/23-24</t>
  </si>
  <si>
    <t>0434/23-24</t>
  </si>
  <si>
    <t>WH-3/22-23</t>
  </si>
  <si>
    <t>Super Cem Bag, Paint AC2G ACE 4 Ltr., for Painting Works</t>
  </si>
  <si>
    <t>WH-16/22-23</t>
  </si>
  <si>
    <t>Paint Super White TE 4 Ltr., for Machine Painting works</t>
  </si>
  <si>
    <t>RE/23-24/01</t>
  </si>
  <si>
    <t>Rade Engineers</t>
  </si>
  <si>
    <t>40MM Globe Valve, 40MM Blow Down Valve, 80MM Check  Valve, for 1)2) Boiler Blow down Line for Economizer 3) Steam Drum Line</t>
  </si>
  <si>
    <t>HO/0141/23-24</t>
  </si>
  <si>
    <t>Double Cable Gland DBW-011 Dowells, Double Cable Gland DBW-011A Dowells, for PCC Room, LT &amp; MC Panel</t>
  </si>
  <si>
    <t>HO/0142/23-24</t>
  </si>
  <si>
    <t>Double Cable Gland DBW-012 Dowells, Dowells ALS-300 Sqmm Allu. Tube Terminals, Dowells ALS-260 400 Sqmm Allu. Tube Terminals, for PCC Room LT &amp; M/c Panel</t>
  </si>
  <si>
    <t>D7705</t>
  </si>
  <si>
    <t>Diesel Purchase 200 Ltr. for Panel</t>
  </si>
  <si>
    <t>D3882</t>
  </si>
  <si>
    <t>SE23FY-00022</t>
  </si>
  <si>
    <t>Hex Head Screw with Nut 16x75,  for Transformer Terminal</t>
  </si>
  <si>
    <t>D8314</t>
  </si>
  <si>
    <t>D8430</t>
  </si>
  <si>
    <t>for Lodging &amp; Tifin Exp. Instrument Engg. Mr. Indrajeet Bhagat</t>
  </si>
  <si>
    <t xml:space="preserve">Gurukrupa Lodge </t>
  </si>
  <si>
    <t>Boiler Consultant ag. Train Tkt. Nagpur to Nasik</t>
  </si>
  <si>
    <t>Shri Sunil Chopra</t>
  </si>
  <si>
    <t>for 1 Trip Sand &amp; 1 Trip Metal for QCS Work &amp; Boiler Work</t>
  </si>
  <si>
    <t>PTC/22-23/00127</t>
  </si>
  <si>
    <t>Birla White Cement 50 Kg, for Painting work</t>
  </si>
  <si>
    <t>Freight for AC Sheet</t>
  </si>
  <si>
    <t>Shri Anil Sinha</t>
  </si>
  <si>
    <t>AC Sheet 3.0 Mtr, AC Ridges N.K 10, for Machine Hall Shed Sheet (Replacement)</t>
  </si>
  <si>
    <t>SE23FY-00073</t>
  </si>
  <si>
    <t>Aluminium Lugs Ring Type 300sqmm, MS Reducer 150 x 80, Bituman Washer, L Hook 9"x4", Cup Washer 5/16", for 1) Pcc Room &amp; Boiler 2) Boiler Feed Water Pump Suction Line 3)4)5) Machine Shed</t>
  </si>
  <si>
    <t>WH-48/22-23</t>
  </si>
  <si>
    <t>Dinner Exp. Mr. Nitin Patil Kaygaon Paper &amp; SS Controller 6 Person</t>
  </si>
  <si>
    <t>Rajkamal Inn</t>
  </si>
  <si>
    <t xml:space="preserve">for Lodging &amp; Boarding to Shri Kiran Jagdale S.S. Control Aurangabad </t>
  </si>
  <si>
    <t>for Sand &amp; Metal for Turbine Building Construction</t>
  </si>
  <si>
    <t>23GBI0514</t>
  </si>
  <si>
    <t>SS Pipe 304 Welded ERW 4", C S Seamless Reducing Socket 3"x21/2", for 1) QCS Pipeline Water Line 2) Boilder Feed WaterPump Suction Line</t>
  </si>
  <si>
    <t>Freight for Size Kitchen M/c Pin Removing from Yadav Engineering</t>
  </si>
  <si>
    <t>Shri Gopal Chaple</t>
  </si>
  <si>
    <t>PTC/22-23/00156</t>
  </si>
  <si>
    <t>Paint Aluminium 20 Ltr., Birla White Cement 25 Kg, Birla 50 Kg, Brush ABC Star 2", Brush Abc Star 4", for Painting work</t>
  </si>
  <si>
    <t>for JCB &amp; Tractor Work for Boiler Side Shed Material Shifting</t>
  </si>
  <si>
    <t>Sai Prasanna Earth Movers</t>
  </si>
  <si>
    <t>SE23FY-00078</t>
  </si>
  <si>
    <t>0447/23-24</t>
  </si>
  <si>
    <t>SS Weldfast Welding Rod 3.15mm, for Welding Works</t>
  </si>
  <si>
    <t>PTC/22-23/00167</t>
  </si>
  <si>
    <t>Birla 50 Kg, Paint SM Grey Industrial 20Ltr, for Painting Work</t>
  </si>
  <si>
    <t>0455/23-24</t>
  </si>
  <si>
    <t>End Arch Bricks 230x115x75x65mm, End Arch Bricks 230x115x75x70mm, for Boiler</t>
  </si>
  <si>
    <t>Commpercial Gas Cylender Refillng for Factory</t>
  </si>
  <si>
    <t xml:space="preserve">Sai Prasanna Earth Movers </t>
  </si>
  <si>
    <t>for Hydra Work for Boiler Elevator  Work Two Days</t>
  </si>
  <si>
    <t xml:space="preserve">Suraj Singh </t>
  </si>
  <si>
    <t>Kota Fitting Boiler Side Advance</t>
  </si>
  <si>
    <t xml:space="preserve">Shri Virendra Sharma </t>
  </si>
  <si>
    <t>Firecrete Castable 25Kg Bag, Accoset-50 (25 Kg Bag), Thermotex 40 Kg, Ceramic Paper 05mm, for Boiler Modification Work</t>
  </si>
  <si>
    <t>WH-56/23-24</t>
  </si>
  <si>
    <t>Paint TE3 TE 10 Ltr, Tarpin Reducer 5Ltr, Tarpin Reducer 2 Ltr, Brush Abc Star 4", Brush ABC Star 2", POP Powder 1 Kg, Paint Bus Green PGE 200ml, for painting work</t>
  </si>
  <si>
    <t>0512/23-24</t>
  </si>
  <si>
    <t>M.S. Welding Rod 3.15mm(Box) for welding work</t>
  </si>
  <si>
    <t>Pannel Room &amp; Chimney Paiting Chgs.</t>
  </si>
  <si>
    <t>Shri Aspak</t>
  </si>
  <si>
    <t>Standard Fire Bricks IS-8 9"x41/2"x3", Skew Block 9"x9"x9"x41/2"x3", Whyt Heat "K" 25 Kg Bag, Hamali, for Boiler</t>
  </si>
  <si>
    <t>SE23FY-00081</t>
  </si>
  <si>
    <t>23GBI0653</t>
  </si>
  <si>
    <t>Forged Steel Elbow 1/2", for APH Air Soof Blower</t>
  </si>
  <si>
    <t>23GBI0109</t>
  </si>
  <si>
    <t>CS Seamless Pipe 1/2", Hamali, for APH Air Soof Blower</t>
  </si>
  <si>
    <t>13245/2324</t>
  </si>
  <si>
    <t>SS Bolt Nut 24x100M /90, for wire part</t>
  </si>
  <si>
    <t>E0268</t>
  </si>
  <si>
    <t>E0573</t>
  </si>
  <si>
    <t>E0814</t>
  </si>
  <si>
    <t>for Diesel Purchase 83.40 Ltr. for Panel - Transformer</t>
  </si>
  <si>
    <t>E0815</t>
  </si>
  <si>
    <t>for Diesel Purchase 66.60 Ltr. for Panel - Transformer</t>
  </si>
  <si>
    <t>BE/G-0123/23-24</t>
  </si>
  <si>
    <t>Cema/Surya FTL 40 Wt., Osram 36/40 Choke, Magik 40W LED Batten, for 1)2) Electrical Use 3) Boiler Panel Room PCC Room</t>
  </si>
  <si>
    <t xml:space="preserve"> Errection &amp; Dismental Work T/F to Control Room, Extra Cable Termination in Turbine, Boiler Room, DP Paiting &amp; CT PT Structure Painting</t>
  </si>
  <si>
    <t>Avanti Electricals &amp; Infrastructure P.Ltd.</t>
  </si>
  <si>
    <t>E1160</t>
  </si>
  <si>
    <t>Rupesh Tractor &amp; Auto Spare Parts</t>
  </si>
  <si>
    <t>for 15 To 40 Engine Oil 35 Ltr. for D.G. Set Oil Changing</t>
  </si>
  <si>
    <t>E1428</t>
  </si>
  <si>
    <t>23-24/045</t>
  </si>
  <si>
    <t>for 250 KVA DG Set-D Rental Period 04.04.23 To 30.04.23</t>
  </si>
  <si>
    <t>Standard Power Solution</t>
  </si>
  <si>
    <t>E1748</t>
  </si>
  <si>
    <t>E1825</t>
  </si>
  <si>
    <t>E0859</t>
  </si>
  <si>
    <t>X2/0264/23-24</t>
  </si>
  <si>
    <t>Electric Motor 11KE6 15HP 960RPM 3PH IE2 Mounted &amp; Hamali, for Chest No. 3 &amp; 8</t>
  </si>
  <si>
    <t>E2803</t>
  </si>
  <si>
    <t>E4978</t>
  </si>
  <si>
    <t>E3452</t>
  </si>
  <si>
    <t>WH-63/23-24</t>
  </si>
  <si>
    <t>Paint SM Gry-G 10 Ltr., Paint SM Gry-G PGE 4 Ltr., Wood Screw 60*8, Birla White Cement 50 Kg, Paint SM Gry-G PGE 4 Ltr., for Paint for Machine Painting &amp; Board for Electric Fitting</t>
  </si>
  <si>
    <t>23GBI0586</t>
  </si>
  <si>
    <t>MS ERW Butterweld Elbow 3", CS Long Bend 11/2", for Overhead Air Line &amp; Desuperheater Water Line</t>
  </si>
  <si>
    <t>Firecrete Castable 25Kg Bag, Insulyte -7 (25 Kg Bag) &amp; Hamali, for Boiler Refrectory work</t>
  </si>
  <si>
    <t>0615/23-24</t>
  </si>
  <si>
    <t>for Factory Std. Installation Testing &amp; Comm. of Ductable Split AC 5.5 TR., Copper Piping, Elec. Cable Indoor &amp; Outdoor, Upvc Draining Piping &amp; Transportation</t>
  </si>
  <si>
    <t>23-24/050</t>
  </si>
  <si>
    <t>for 250 KVA DG Set-D Rental Period 01.05.23 To 11.05.23</t>
  </si>
  <si>
    <t>GST not eligible for setoff</t>
  </si>
  <si>
    <t>X2/0130/23-24</t>
  </si>
  <si>
    <t>Alluminium Armoured Cable 300Sqmm x 3.5 Core, Alluminium Armoured Cable 240Sqmm x 3.5 Core, &amp; Hamali,for PCC Room LT &amp; M/c Panel</t>
  </si>
  <si>
    <t>Salary</t>
  </si>
  <si>
    <t>Interest on Unsecured Loan</t>
  </si>
  <si>
    <t>Interest on U/S Loan</t>
  </si>
  <si>
    <t>Salaries to Other Factory Staff</t>
  </si>
  <si>
    <t>Remuneration to Director</t>
  </si>
  <si>
    <t>Raw Material Sorting Charges</t>
  </si>
  <si>
    <t>Salaries &amp; Others-Factory</t>
  </si>
  <si>
    <t>Finished Goods Packing &amp; Allied Charges</t>
  </si>
  <si>
    <t>Waste Paper Feeding Charges</t>
  </si>
  <si>
    <t>Boiler Fireman (Feeding Charges)</t>
  </si>
  <si>
    <t>Salaries &amp; Others</t>
  </si>
  <si>
    <t>Kailashchandra Agrawal</t>
  </si>
  <si>
    <t>Omprakash Rathi</t>
  </si>
  <si>
    <t>AAR Tech Engineer Food expenses for Boiler work</t>
  </si>
  <si>
    <t>vide B.no. 552 for Lodging Exp. Shri Beeran Sah  &amp; Shri Manoj Singh from S.S. Control &amp; Aartech Engg. from 03.05.23 To 09.05.23</t>
  </si>
  <si>
    <t xml:space="preserve">Yash Lodging &amp; Boarding </t>
  </si>
  <si>
    <t>Expansion Below Cloth Stiching for Boiler</t>
  </si>
  <si>
    <t>CASH</t>
  </si>
  <si>
    <t>Freight for Boiler Bricks from Mahi Enterprises vide Veh.no. MH-40 N-1803</t>
  </si>
  <si>
    <t>Shri Chhotu</t>
  </si>
  <si>
    <t>for Kota Fitting Work</t>
  </si>
  <si>
    <t>Virendra Sharma</t>
  </si>
  <si>
    <t>Parcel M/c Parts from Kessels</t>
  </si>
  <si>
    <t>Paid to Manmandir Parcel Service</t>
  </si>
  <si>
    <t>Rec. No. 280 Hydra Work for New Conveyor Boiler Work</t>
  </si>
  <si>
    <t>Freight for Tpt Material Oil Drum, Ashish Furniture, Oxygen Cylender, etc.</t>
  </si>
  <si>
    <t>Shri Sanjay Fulzele</t>
  </si>
  <si>
    <t>Freight for C Pvc Pipe 11/2"</t>
  </si>
  <si>
    <t xml:space="preserve">Shri Sartaj Ansari </t>
  </si>
  <si>
    <t>23GBI0515</t>
  </si>
  <si>
    <t>MS Elbow 2", SS Elbow 4", SS Stub End 4", for 1)Boiler SA Air line &amp; 2)3) QCS Pipe Line</t>
  </si>
  <si>
    <t>23GBI0730</t>
  </si>
  <si>
    <t>SS Elbow 4", SS Stub End 4", FOR QCS WORK</t>
  </si>
  <si>
    <t>RIC/0252/23-24</t>
  </si>
  <si>
    <t>MS Pipe ERW Size 60 OD x 2 mm THK, FOR APH WORK</t>
  </si>
  <si>
    <t>Rec. No. 239 Hydra Work for D.G. Set Loading</t>
  </si>
  <si>
    <t>PTC/22-23/00187</t>
  </si>
  <si>
    <t>Paint SM Grey Industrial 20Ltr, FOR PAINTING WORK</t>
  </si>
  <si>
    <t>Nagpur to Ahmedabad Train Tkt. to Shri Anand, Pradeep, Vishal, Mohit Technician</t>
  </si>
  <si>
    <t>Shri Biren Shah, Aar Tech Engg. for Travelling &amp; Tea, Break fast, Dinner Exp.</t>
  </si>
  <si>
    <t>B.no. 553 for Lodging Exp. from 15.05.23 To 18.05.23 to Shri Biren Shah Boiler Engg. Pannel for Electrical Work</t>
  </si>
  <si>
    <t>B.No. 554 for Lodging Exp. from 22.05.23 To 24.05.23 to Shri Balaji Kendre, Pune for DSH Work</t>
  </si>
  <si>
    <t>SE23FY-00092</t>
  </si>
  <si>
    <t>CPvc Pipe 11/2", for Air Line</t>
  </si>
  <si>
    <t>SE23FY-00093</t>
  </si>
  <si>
    <t>MS Hex Head Screw 3/8" x 11/2", MS Hex Head Screw 3/8" x 2", MS Hex Head Screw 1/2"x11/2", for Maint. Work</t>
  </si>
  <si>
    <t>0637/23-24</t>
  </si>
  <si>
    <t>CI Y Type Strainer Flange Type 6", for Boiler Feed Water Pump Suction Line</t>
  </si>
  <si>
    <t>0658/23-24</t>
  </si>
  <si>
    <t>Aluminium Flat 20 x 80 x 850, for Target Plate for Steam Blowing</t>
  </si>
  <si>
    <t>SE23FY-00104</t>
  </si>
  <si>
    <t>23GBI0747</t>
  </si>
  <si>
    <t>S.S. Short Stubend 2", for Fan Pump Head Box Circulation line Backwater Line</t>
  </si>
  <si>
    <t>Bill No. PIRS/NGP/175/23-24</t>
  </si>
  <si>
    <t>Freight for MS Pipe ERW from Rolex Industrial Corporation vide Lr.no. 22997 Veh.no. MH-48 AG-7208</t>
  </si>
  <si>
    <t>Premier India Road Service, Nagpur</t>
  </si>
  <si>
    <t>AC Sheet 3.0 Mtr, 2.0 Mtr, 1.5 Mtr, for Machine Hall, Pop Reel to M/c</t>
  </si>
  <si>
    <t>0673/23-24</t>
  </si>
  <si>
    <t>M.S. Welding Rod 3.15mm(Box), for APH Work Welding</t>
  </si>
  <si>
    <t>Paid to Shri Shekhar ag. Freight for AC Sheet from J P &amp; Sons</t>
  </si>
  <si>
    <t>Paid to Shri Arun ag. Commercial LPG  Cylender Refilling for Factory</t>
  </si>
  <si>
    <t>LPG Cylender Refilling</t>
  </si>
  <si>
    <t>Paid to Shri Madanlal ag. Freight for Oxygen Cylender</t>
  </si>
  <si>
    <t>SE23FY-00112</t>
  </si>
  <si>
    <t>Anabond Shalibond CS STP, Super Tape Self Adhesive Tape 4", Self Drilling Screw 2", for shed sheet work</t>
  </si>
  <si>
    <t>0686/23-24</t>
  </si>
  <si>
    <t>Safety Goggle Udyogi, MS Weldfast 3.15mm Wleding Electrode, for APH Tube Cutting Work</t>
  </si>
  <si>
    <t>0710/23-24</t>
  </si>
  <si>
    <t>V Belt C-125, V Belt C-138, for FD &amp; ID Fan New Installation</t>
  </si>
  <si>
    <t>Paid to Shri Roshan ag. Freight for Boiler Tube</t>
  </si>
  <si>
    <t>Paid to Ishwar Paintng Work vide CM.No. 362 for Machinery Painting Work (Panel, Door, Plate, M/c Shutter Patti, etc.)</t>
  </si>
  <si>
    <t>Painting Work</t>
  </si>
  <si>
    <t>Paid to Shri Arun ag. LPG Cylender Refilling for Factory</t>
  </si>
  <si>
    <t>Paid to Shri Madanlal ag. Freight for Oxygen Cylender vide Veh.no. MH-40 BF-0869</t>
  </si>
  <si>
    <t>Paid to Saraswati General Stores for Green Cement 3 Kg for Tiles Work Power Plant</t>
  </si>
  <si>
    <t>Green Cement for Tile Work</t>
  </si>
  <si>
    <t>Zoloto Forge Ball Valve 1/2", for Air Line PMC</t>
  </si>
  <si>
    <t>Paid to Shri Sanjay Gulhane ag. Freight for AC Sheet from J.P. Sons vide Veh.no. MH-40 X-0017</t>
  </si>
  <si>
    <t>SE23FY-00122</t>
  </si>
  <si>
    <t>Super Tape Self Adhesive Tape 4", Hex Head Screw 5/16" x 4" with Nut, Super Tape Self Adhesive Tape 4", for Shed Sheet Work</t>
  </si>
  <si>
    <t>AC Sheet 3.0 Mtr, Shed Sheet Work</t>
  </si>
  <si>
    <t>MT/425/23-24</t>
  </si>
  <si>
    <t>Pressure Gauge 4" Dial 0.10/Cm 1/2 BSP, for pulp mill line</t>
  </si>
  <si>
    <t>Mahavir Thermoequip, Mumbai</t>
  </si>
  <si>
    <t>URD</t>
  </si>
  <si>
    <t>for Factory Cement Sheet Fitting 275 Nos, Ridge Opening with Fitting 35 Pair &amp; Turbo Fan 12 Nos (Machine Hall, Finishing Hall, Corepipe Stock Hall, Kata Room, Electric+Patta)</t>
  </si>
  <si>
    <t>K. B. Construction</t>
  </si>
  <si>
    <t>13352/2324</t>
  </si>
  <si>
    <t>MS Bolt Nut Washer 3/4x4", for Maint. Work</t>
  </si>
  <si>
    <t>Paid to Shri Birendra Sharma ag. Kota Fitting Work</t>
  </si>
  <si>
    <t>Fitting Work</t>
  </si>
  <si>
    <t>0825/23-24</t>
  </si>
  <si>
    <t>RGA/2223CR/177</t>
  </si>
  <si>
    <t>RGA/2223CR/202</t>
  </si>
  <si>
    <t>RGA/2223CR/245</t>
  </si>
  <si>
    <t>Industrial Oxygen Gas (RMG), for Maint.</t>
  </si>
  <si>
    <t>WH-85/23-24</t>
  </si>
  <si>
    <t>GI Nut Bolt 5/16x4", for Shed Sheet Work</t>
  </si>
  <si>
    <t>0806/23-24</t>
  </si>
  <si>
    <t>SS Weldfast Welding Rod 3.15mm, Leather Hand Gloves 14", M Tape 5 Mtr, CS Gate Valve 1", for 1) Welding Work 2) Boiler 3) Maint. 4) De-Superheater</t>
  </si>
  <si>
    <t>HO/0334/23-24</t>
  </si>
  <si>
    <t>Rexnord 8" Round Axial Fan, for Chaina Motors</t>
  </si>
  <si>
    <t>p/s 05</t>
  </si>
  <si>
    <t>Labour Chgs. for Pop Reel &amp; Boiler Conveyer Errection Work</t>
  </si>
  <si>
    <t>Pal Errection Services</t>
  </si>
  <si>
    <t>Paid to Shri Chopra Saheb ag. Boiler Consulting Chgs.</t>
  </si>
  <si>
    <t>Boiler Consulting Chargs</t>
  </si>
  <si>
    <t>SE23FY-00136</t>
  </si>
  <si>
    <t>L Hook - K 8" x 3", Bituman Washer, for shed sheet work</t>
  </si>
  <si>
    <t>SE23FY-00137</t>
  </si>
  <si>
    <t>Measuring Tape 3 Mtrs, U Pvc Bend 11/2", MS  Hex Head Screw 1/2"x2"with Nut &amp; Washer, MS Hex Head Screw 1/2"x11/2" with Nut &amp; Washer, for 1) Rewinder 2) Ash Handling 3) Maint. 4) APH Duct Boiler</t>
  </si>
  <si>
    <t>Freight for Aar Tech Engg. Material (Orifice Plate, Condensing Pot, Nipple, Pipe, Tee, Elbow, Globe Valve)</t>
  </si>
  <si>
    <t>RTE/23-24/0054</t>
  </si>
  <si>
    <t>Orifice Assembly Condensatepot &amp; Fitting &amp; Hamali, for Boiler</t>
  </si>
  <si>
    <t>0858/23-24</t>
  </si>
  <si>
    <t>SS Flap Type Check Valve 11/2" for Boiler</t>
  </si>
  <si>
    <t>0894/23-24</t>
  </si>
  <si>
    <t>M.S. Welding Rod 3.15mm(Box), for Welding Work</t>
  </si>
  <si>
    <t>SB23Y-0011</t>
  </si>
  <si>
    <t>Tile 2x2, for Panel Room Boiler</t>
  </si>
  <si>
    <t>Marble Décor</t>
  </si>
  <si>
    <t>23GBI0953</t>
  </si>
  <si>
    <t>G.I. Union 1", G.I. Elbow 1/2", G.I. Socket 1/2", for Air Line</t>
  </si>
  <si>
    <t>RTE/23-24/0055</t>
  </si>
  <si>
    <t>Control Valve 50NB  &amp; 25 NB, &amp; Hamali, for Boiler</t>
  </si>
  <si>
    <t>RGA/2223CR/251</t>
  </si>
  <si>
    <t>LA/23-24/00486</t>
  </si>
  <si>
    <t>Siemens AC Contactor 3TF3110 0AP0, Siemens Make Relay 3UA5000 1H O/L 5-8A, Siemens MCB 20A 3P 5SL6320 7RC, for De-Super Heater Pump</t>
  </si>
  <si>
    <t>L. A. Trading Company</t>
  </si>
  <si>
    <t>HO/0358/23-24</t>
  </si>
  <si>
    <t>Vega 6 A 1 Way Switch, Western Vega 6Amp 2in One Socket, Cable Tie 4" Cable, Insulin Tape, etc.for 1) to 6) Cabling Work 7)8) Boiler Panel</t>
  </si>
  <si>
    <t>Sand 1 Trip for Tractor &amp; Forklift Parking area foundation work</t>
  </si>
  <si>
    <t>WH-93/23-24</t>
  </si>
  <si>
    <t>Cement PPC (Ultratech 50Kg) &amp; Hamali, for Tractor &amp; Forklift Parking Area Platform</t>
  </si>
  <si>
    <t>for 1/2 Trip Metal, 1/2 Trip Sand &amp; Mistri for Vehicle Shed Work</t>
  </si>
  <si>
    <t>Paid to Saini Travels ag. Bus Tkt. Nagpur to Pune to Shri Ramsurat Yadav Tech. Engg.</t>
  </si>
  <si>
    <t>Being 100% salary to Fy. Tech Staff  Capitalised for the month of Apr'23 against Expansion Shut down work</t>
  </si>
  <si>
    <t>Being 100% OT to Fy. Tech Staff  Capitalised for the month of Apr'23 against Expansion Shut down work</t>
  </si>
  <si>
    <t>Being 100% salary to Fy. Admn Staff  Capitalised for the month of Apr'23 against Expansion Shut down work</t>
  </si>
  <si>
    <t>Being 100%  all Directors remuneration Capitalised for the month of Apr'23 against Expansion Shut down work</t>
  </si>
  <si>
    <t>Anita Lakhotiya</t>
  </si>
  <si>
    <t>Baljit Kaur Manindersingh Saini</t>
  </si>
  <si>
    <t>Gaurav Lakhotiya</t>
  </si>
  <si>
    <t>ASJ Consultancy Pvt. Ltd.</t>
  </si>
  <si>
    <t>Walter Advisors Pvt Ltd</t>
  </si>
  <si>
    <t>Altherm Engineers</t>
  </si>
  <si>
    <t>CNCS 2500 C MODConversion by EDO EDO Conversation KIT + Closing Coil + Spring Charge Motor &amp; Complete Conversation Site Work</t>
  </si>
  <si>
    <t>R. D. Control System</t>
  </si>
  <si>
    <t>for AC Drive from Aar Tech Engg. DC.no. 011 dt. 09.05.23</t>
  </si>
  <si>
    <t>CC/HPML/23-24/05</t>
  </si>
  <si>
    <t>for Civil Work for Boiler Area Work, (Steel Foundation, Extended Bear &amp; Column, Pannel Room, Existing ID Fan)</t>
  </si>
  <si>
    <t>CC/HPML/23-24/06</t>
  </si>
  <si>
    <t>for Civil Work for Drum Screen Area, Air Receiver Tank &amp; Circular Tank</t>
  </si>
  <si>
    <t>CC/HPML/23-24/07</t>
  </si>
  <si>
    <t>for Civil Work for Fly Ash Silo Area</t>
  </si>
  <si>
    <t>CC/HPML/23-24/08</t>
  </si>
  <si>
    <t>for Civil Work for Production Machine Area Foundation</t>
  </si>
  <si>
    <t>CC/HPML/23-24/09</t>
  </si>
  <si>
    <t>for Civil Work  TG Deck Area Kotta Fitting</t>
  </si>
  <si>
    <t>CC/HPML/23-24/03</t>
  </si>
  <si>
    <t>for Civil Work for Meter Room Cable Trench work</t>
  </si>
  <si>
    <t>CC/HPML/23-24/04</t>
  </si>
  <si>
    <t>for Civil Work for Transformer Yard Area</t>
  </si>
  <si>
    <t>CC/HPML/23-24/10</t>
  </si>
  <si>
    <t>for Civil Work   New ID Foundation (Exacavtion of Soil, RCC, Steel, Centering, RCC Breaker Chgs.)</t>
  </si>
  <si>
    <t>Freight for Boiler Instruments from Aartech Engg.</t>
  </si>
  <si>
    <t>RTE/23-24/0060</t>
  </si>
  <si>
    <t>Instruments Of Boiler ( for Boiler Project (Steam Flow Meter, Deaerator Level, Pre/Drum Level, Scada Work, Three Valve Manfold, Signal Cable, Isoletor, Thermocouple, Toggle Switch, etc)</t>
  </si>
  <si>
    <t>Kota Fitting Work</t>
  </si>
  <si>
    <t>Paid to Shri Virendra Sharma ag. Kota Fitting Work</t>
  </si>
  <si>
    <t xml:space="preserve">Inv. dt. 09.06.23 </t>
  </si>
  <si>
    <t>Cement Sheet Open &amp; Fitting 360 Nos., Ridge Opening &amp; Fitting 35 Pair, Turbo Fan 12 Nos, Damber Roll Fitting 3 Nos. at factory (difference entry booked as per 159200-107200</t>
  </si>
  <si>
    <t>RTE/23-24/0059</t>
  </si>
  <si>
    <t>Instruments of Boiler (for Boiler Project (K Type Thermocouple, Signal Isoletor, Alarm Annuciator, Potentiometer, Copper Tube, Brass Male Connector, 1/2" BSP Nut &amp; Ferule, Three Valve Manifold, Pressure Transmitter, etc)</t>
  </si>
  <si>
    <t>X2/0466/23-24</t>
  </si>
  <si>
    <t>Multistand Copper Flexible Lead/Cable 185sqx1Core, Multistand Copper Flexible Lead/Cable 150sqx1Core, &amp; Hamali for Refiner Pannel &amp; Motor</t>
  </si>
  <si>
    <t>Being 100%  all Directors remuneration Capitalised for the month of May'23 against Expansion Shut down work</t>
  </si>
  <si>
    <t>Being 100% salary to Fy. Admn Staff  Capitalised for 01.05 to 25.05.23 on shut dn</t>
  </si>
  <si>
    <t>Being 100% salary to Fy. Tech Staff  Capitalised for 25 days ag mc shut dn on expansion work</t>
  </si>
  <si>
    <t>Being 100% OT to Fy. Tech Staff  Capitalised for 25 days ag mc shut dn on expansion work</t>
  </si>
  <si>
    <t>Anilkumar Lakhotiya</t>
  </si>
  <si>
    <t>Gaurav Lakhotiya (Loan A/c)</t>
  </si>
  <si>
    <t>Hazelkaur Manindersingh Saini</t>
  </si>
  <si>
    <t>Kailash Kaur Jarnailsingh Saini</t>
  </si>
  <si>
    <t>Sanjamkaur Saini</t>
  </si>
  <si>
    <t>SARTAJ MANINDERSINGH SAINI</t>
  </si>
  <si>
    <t>Snehlata A. Lakhotiya</t>
  </si>
  <si>
    <t>VFD 150 HP Make Fuji AC Drive 110 KW/150HP, for boiler</t>
  </si>
  <si>
    <t>RTE/23-24/0070</t>
  </si>
  <si>
    <t>ST/2324/0000020</t>
  </si>
  <si>
    <t>Electrostatic Precipitator Spare Part (SMPS), for WTP</t>
  </si>
  <si>
    <t>327/23-24</t>
  </si>
  <si>
    <t>SS-310 Pipe 42mm ODx3mm Thk x 1500mm L &amp; Hamali for Boiler Thermocouple use</t>
  </si>
  <si>
    <t>Narender Kumar (for QCS Work)</t>
  </si>
  <si>
    <t>QCS Engineer 1 Month Work Payment</t>
  </si>
  <si>
    <t>for Sand, Metal &amp; Bricks for Boiler Foundation Work</t>
  </si>
  <si>
    <t>WH-115/23-24</t>
  </si>
  <si>
    <t>TMT Bar 8 mm &amp; 10 mm, for Boiler Foundation Work</t>
  </si>
  <si>
    <t>SARASWATI GENERAL STORES, NAGPUR</t>
  </si>
  <si>
    <t>Being Non-acceptance of TDS w/off on account</t>
  </si>
  <si>
    <t>Pyarekhan Pathan (Painter)</t>
  </si>
  <si>
    <t>CSC/4136</t>
  </si>
  <si>
    <t>Aquasol Silica Test Kit Rakiro &amp; Others for DM Plant</t>
  </si>
  <si>
    <t>CENTRAL SCIENTIFIC CO.</t>
  </si>
  <si>
    <t>TDS Amount Writeoff</t>
  </si>
  <si>
    <t>016/S/2023-24</t>
  </si>
  <si>
    <t>Labour Chgs. for Boiler Modification for Boiler No. MR/16449</t>
  </si>
  <si>
    <t>AKRG/74/2022-23</t>
  </si>
  <si>
    <t>for Financial Consultancy Services</t>
  </si>
  <si>
    <t>AE/23-24/009</t>
  </si>
  <si>
    <t>for Tranformer Oil Filtration with OLTC, Machine Transporation &amp; Transformer New Oil</t>
  </si>
  <si>
    <t>ASHWINI ELECTRICAL</t>
  </si>
  <si>
    <t>RD/23-24/30</t>
  </si>
  <si>
    <t>Shri Samadan Patil ag. Freight for Air Fans Material Veh.no. MH-14 GD-8234</t>
  </si>
  <si>
    <t>Paid to Shri Suraj Singh vide Inv.no. 020 for Hydra Work ID Fan</t>
  </si>
  <si>
    <t>Hydra Work</t>
  </si>
  <si>
    <t>Paid to Shri Samadan Patil ag. Freight for Air Fans Material vide Veh.no. MH-14 GD-8234</t>
  </si>
  <si>
    <t>Factory Power &amp; Electricity Charges</t>
  </si>
  <si>
    <t>Factory Power</t>
  </si>
  <si>
    <t>Factory Power &amp; Electricity Charges (Apr-23)</t>
  </si>
  <si>
    <t>Factory Power &amp; Electricity Charges (May-23)</t>
  </si>
  <si>
    <t>Factory Power &amp; Electricity</t>
  </si>
  <si>
    <t>GRAND TOTAL (A+B+C+D)</t>
  </si>
  <si>
    <t>Boiler Fireman  (Feeding Charges)</t>
  </si>
  <si>
    <t>Waste Paper Feeding  Charges</t>
  </si>
  <si>
    <t>Factory Cleaning Charges</t>
  </si>
  <si>
    <t>FSI/2023-24/0212</t>
  </si>
  <si>
    <t>MS Plate HR 4mm, MS Angle 50x5, MS Angle 40x5, Hamali, for Boiler Ducting Work</t>
  </si>
  <si>
    <t>HO/0547/23-24</t>
  </si>
  <si>
    <t>Copper Flexible Cable 2.5 Sqx16 Core, Copper Flexible Cable 2.5 Sqx16 Core, Hamali, for Pannel Fitting Electrical</t>
  </si>
  <si>
    <t>HO/0548/23-24</t>
  </si>
  <si>
    <t>Pvc Cable Clip 10mm, Pvc Cable Clip 8mm, Pvc Cable Clip 6mm, Meco Digital Multimeter (Auto), for Power Plant</t>
  </si>
  <si>
    <t>HO/0549/23-24</t>
  </si>
  <si>
    <t>Repon MY2N Relay 220V, AC With Base, Repon 3 Positioner Selector Switch, Pvc Push Button, for QCS System</t>
  </si>
  <si>
    <t>Lodging &amp; Boarding to Mt. Sudeep Singh from Allied Electrostatics for ESP Work</t>
  </si>
  <si>
    <t>Paid to Shri Harishankar Pande, Aartech Engg. for Factory Visit Travelling Exp. Boiler Instument Work</t>
  </si>
  <si>
    <t>for Lodging Exp. Mr. Sandeep Rajkumar Singh 17.06.23 to 18.06.23 &amp; Mr. Hari Shankar Pandey Aartech Engg. 15.06.23 To 22.06.23 ESP Work</t>
  </si>
  <si>
    <t>Gurukripa Lodge</t>
  </si>
  <si>
    <t xml:space="preserve">Gurukripa Lodge </t>
  </si>
  <si>
    <t>Paid to Food &amp; Dinner Exp. for QCS Engineer Mr. Ingale Lalitkumar &amp; Hiren QCS Engg.</t>
  </si>
  <si>
    <t>RTE/23-24/0072</t>
  </si>
  <si>
    <t>Temperature Gauge SS 500C, Vacuum Gauge Dial 150mm Range-760 to 0, Pressure Gauge 0 to 1000mm Wc/mbar, K Type Thermocouple Element K Type L-1200mm, for Boiler</t>
  </si>
  <si>
    <t>RTE/23-24/0077</t>
  </si>
  <si>
    <t>Thermocouple Type 'K', for Boiler</t>
  </si>
  <si>
    <t>SE23FY-00209</t>
  </si>
  <si>
    <t>GI Hex Head Screw 8x35 with Nut, Anemometer, for Electric &amp; Boiler</t>
  </si>
  <si>
    <t>FSI/2023-24/0213</t>
  </si>
  <si>
    <t>MS Plate HR, for Boiler Ducting</t>
  </si>
  <si>
    <t>for D. M. Plant Servicing &amp; Tranining Charges</t>
  </si>
  <si>
    <t>Factory Power &amp; Electricity Charges (Jun-23)</t>
  </si>
  <si>
    <t>Being  Expansion related technical staff salary capitalkised for the month of June'23</t>
  </si>
  <si>
    <t>Being Expansion related staff OT capitalised for the month of June'23</t>
  </si>
  <si>
    <t>Eetamax Eels 100W ML FL Led Light, Eetamax Eels 50W ML FL Led Light, for Plant &amp; Boiler</t>
  </si>
  <si>
    <t>23GBI0280</t>
  </si>
  <si>
    <t>MS ERW Pipe 4"x10, for PA line Boiler</t>
  </si>
  <si>
    <t>025/S/2023-24</t>
  </si>
  <si>
    <t>for Labour Chgs, Desuper Heater Station, Fabrication &amp; Inst. Level Gauge &amp; tapping, All Valve replacement, Steam Pipe Line, All Air PreHeater Tube Replace, Economizer Replace, Coal Feeder Rotary Assembly,etc.</t>
  </si>
  <si>
    <t>23GBI1691</t>
  </si>
  <si>
    <t>MS Butterweld Reducer Socket ERW 125x100mm, for Boiler PA Line</t>
  </si>
  <si>
    <t>for Lodging Chgs. dt. 21.06.23 To 24.06.23 to Shri Hirenkumar Patel</t>
  </si>
  <si>
    <t>for Lodging Chgs. dt. 22.06.23 To 30.06.23 to Shri Lalitkumar Ingle</t>
  </si>
  <si>
    <t>for Lodging Dt. 22.06.23 To 30.06.23 To Shri Lalitkumar Ingle</t>
  </si>
  <si>
    <t>RTE/23-24/0083</t>
  </si>
  <si>
    <t>Switch Mobry with Chamber Assemblt, for Boiler Project</t>
  </si>
  <si>
    <t>2023-24/050</t>
  </si>
  <si>
    <t>for Consultancy Chgs. 10% of the order value on Boiler Hydro Test tds 10% 9000/-</t>
  </si>
  <si>
    <t>RD/23-24/7</t>
  </si>
  <si>
    <t>CNCS C Power L&amp;T Make ACB Servicing, CNCS C Power 2500A Shunt Release Coil 240VAC, Shunt Release Coil with Fitting Wiring &amp; Lab Chgs,</t>
  </si>
  <si>
    <t>FSI/2023-24/0286</t>
  </si>
  <si>
    <t>MS Chequered Plate 4mm, MS Angle 50x5, M.S. Channel 75x40, &amp; Hamali for Turbine work</t>
  </si>
  <si>
    <t>23GBI0321</t>
  </si>
  <si>
    <t>CS Seamless Pipe 2", Turbine</t>
  </si>
  <si>
    <t>1745/23-24</t>
  </si>
  <si>
    <t>MS Reducer 1/2M x 1/4 Female, Socket Weld Elbow 2" &amp; Hamali, for Turbine work</t>
  </si>
  <si>
    <t>1750/23-24</t>
  </si>
  <si>
    <t>Copper Plate 3mm 2 x 2, for ESV Intel Turbine Steam Packing</t>
  </si>
  <si>
    <t>23GBI1959</t>
  </si>
  <si>
    <t>CS Seamless Reducing Socket IBR 100x50mm, for Turbine Ejector Line</t>
  </si>
  <si>
    <t>23GBI1958</t>
  </si>
  <si>
    <t>Forged CS Butterweld Reducer Socket 2"x1", FCS Slipon Raised Face Flanged 1", FCS Slipon Raised Face Flange 2", FCS Slipon Raised Face Flanged 4", for turbine</t>
  </si>
  <si>
    <t>SE/HPML/HARDOLI/03</t>
  </si>
  <si>
    <t>for Electrical Works TG Bldg. Cabling, Earthing Strps, LDB Pannel, MLDB Pannel Errection, Lighting &amp; Street Points, MCB, GI Pipe, Valve, etc. Work</t>
  </si>
  <si>
    <t>RE/23-24/06</t>
  </si>
  <si>
    <t>Flosteer IBR Blow Down Valve Astm A216, Prime Forged Steel Globe Valve A-105#800 for Boiler</t>
  </si>
  <si>
    <t>23GBI1838</t>
  </si>
  <si>
    <t>MS Butterweld Elbow 11/2", MS Slipon Flange 11/2", for Desuperheater</t>
  </si>
  <si>
    <t>23GBI0309</t>
  </si>
  <si>
    <t>C S Seamless Pipe 11/2", &amp; Hamali, for Desuperheater</t>
  </si>
  <si>
    <t>23GBI1893</t>
  </si>
  <si>
    <t>1.5"x800# Gate Valve S/W Gr. A105 IBR, 1.5"x800# Gate Valve S/W Gr. A105 IBR, for Desuperheater</t>
  </si>
  <si>
    <t>1723/23-24</t>
  </si>
  <si>
    <t>Pressure Gauge 6" Dial 0-70 Kg/Cm2, for Drum Header Boiler</t>
  </si>
  <si>
    <t>RIC/0631/23-24</t>
  </si>
  <si>
    <t>MS Flange 4" NBx600 # SORF, for turbine ejector line</t>
  </si>
  <si>
    <t>Being  Expansion related technical staff salary capitalkised for the month of July'23</t>
  </si>
  <si>
    <t>Being Expansion related staff OT capitalised for the month of July'23</t>
  </si>
  <si>
    <t>for 2 days Lodging Exp. Mr. Ashok Yadav Kessels Engg.  from 28.07.23 To 29.07.23</t>
  </si>
  <si>
    <t>Boiler &amp; Scada Work Period from 26.07.23 to 02.08.23</t>
  </si>
  <si>
    <t xml:space="preserve">Rajveer Family Garden &amp; Resturant </t>
  </si>
  <si>
    <t>for Auto &amp; Bus Exp, Tea &amp; Snacks Exp, etc for Boiler &amp; Scada Work Period from 26.07.23 to 07.08.23 (2 Person)</t>
  </si>
  <si>
    <t>Mr. Biren Shah from Aartech Engg.</t>
  </si>
  <si>
    <t>for Lodging &amp; Boarding to Mr. Biren Saha from Aar Tech Engg. Delhi from 26.07.23 To 07.08.23</t>
  </si>
  <si>
    <t>Star Lodging And Boarding</t>
  </si>
  <si>
    <t>for Lodging &amp; Boarding to Mr. Vikramji from Aar Tech Engg. Delhi from 26.07.23 To 07.08.23</t>
  </si>
  <si>
    <t>for Lodging &amp; Boarding dt. 24.07.23 To 16.08.23 to Mr. Indrajeet from Delhi on behalf Kessels Engg</t>
  </si>
  <si>
    <t>23GBI2087</t>
  </si>
  <si>
    <t>Forged Steel Elbow 1/2", Forged Steel Elbow 11/2", for Turbine Air Line</t>
  </si>
  <si>
    <t>GI Pipe 1/2" &amp; Hamali, for Turbine Air Line</t>
  </si>
  <si>
    <t>HO/0693/23-24</t>
  </si>
  <si>
    <t>Pic Flange End Ball Valve 80mm (3"), MS Slipon  Flange 3", for Lube Oil System Cooling Water Line &amp; Power Generation Cooling Water Line</t>
  </si>
  <si>
    <t xml:space="preserve">Debit Note against Integrated Marketing Inc. </t>
  </si>
  <si>
    <t>S/23-24/546</t>
  </si>
  <si>
    <t>1 Triad x 1 Sqmm Overall Armoured FRLS Cable, 1 Pair x 1 Sqmm Overall Shielded Armoured FRLS Cabl, 1 2Pair X1 Sqmm Overall Shielded Armoured FRLS Cable &amp; Hamali on behalf of Kessele</t>
  </si>
  <si>
    <t>Against</t>
  </si>
  <si>
    <t>Shree Gurukrupa Lodge</t>
  </si>
  <si>
    <t>Lodging &amp; Boarding Exp. 1) Mr. Prakash Sheole &amp; Mr. Kiran Jagdale from S.S. Control from 12.08.23 To 14.08.23 2) Mr. Aniket Todkar 12.08.23</t>
  </si>
  <si>
    <t>RIC/0717/23-24</t>
  </si>
  <si>
    <t>MS Basket Strainer Flange End 350mmx150#, for Power Plant Cooling Tower</t>
  </si>
  <si>
    <t>FSI/2023-24/0354</t>
  </si>
  <si>
    <t>MS Plate HR, MS Angle, for Condensor Plateform Work</t>
  </si>
  <si>
    <t>GB23Y-312</t>
  </si>
  <si>
    <t>Oil Servo Prime 68 - 210L BRL, for Turbine Lubricant System</t>
  </si>
  <si>
    <t>Nagpur Techno Marketing P. Ltd.</t>
  </si>
  <si>
    <t>Turbine Oil 68, for Turbine Lubrication System</t>
  </si>
  <si>
    <t>Agrawal Sales Corporation</t>
  </si>
  <si>
    <t>Power Plant_TG</t>
  </si>
  <si>
    <t>POWER PLANT_TG</t>
  </si>
  <si>
    <t>for Lodging Exp. from 19.08.23 To 22.08.23 to Shri Kiran Jagdale from S.S. Control, Aurangabad</t>
  </si>
  <si>
    <t>for Lodging Exp from 26.08.23 to 29.08.23 to Shro Mohammed Ashraf, S.I. Energy Venture, Kessels</t>
  </si>
  <si>
    <t>for Lodging Exp from 21.07.23 to 29.08.23 to Shri Ajay Dumbhare, Pune Kessels</t>
  </si>
  <si>
    <t>Freight for Valve (Stainer) from Rolex Industrial Corp.</t>
  </si>
  <si>
    <t>2023-24/142</t>
  </si>
  <si>
    <t>Cable for LAN CAT6, Walky-Talky Systems Lenovo, for SLDC Feed back, Power Plant</t>
  </si>
  <si>
    <t>2324/V-2669</t>
  </si>
  <si>
    <t>Metering Pump Neo 6LPH, FT 650 50NB Insertion Type, Upvc Tee 50NB for cooling tower</t>
  </si>
  <si>
    <t>Filtra Consultants And Engineers Ltd.</t>
  </si>
  <si>
    <t>INPT232422146</t>
  </si>
  <si>
    <r>
      <t>for Air Tkt. Mr. Vikramkumar Shah Ah'bad To Nagpur dt. 12.08</t>
    </r>
    <r>
      <rPr>
        <sz val="11"/>
        <color theme="1"/>
        <rFont val="Arial"/>
        <family val="2"/>
      </rPr>
      <t>.23</t>
    </r>
  </si>
  <si>
    <t>INPT232422253</t>
  </si>
  <si>
    <t>for Air Tkt. Mr. Vikramkumar Shah Nagpur to Ah'bad dt. 14.08.23</t>
  </si>
  <si>
    <t>INPT232422852</t>
  </si>
  <si>
    <t>for Air Tkt. Mr. Vikramkumar Shah Nagpur to Ah'bad dt. 15.08.23</t>
  </si>
  <si>
    <t>INPT232422963</t>
  </si>
  <si>
    <t>for Air Tkt. Mr. Megh Shyam Gupta Mumbai To Nagpur  dt. 10.08.23 from Kessels Engg.</t>
  </si>
  <si>
    <t>INPT232423328</t>
  </si>
  <si>
    <t>for Air Tkt. Mr. Vikramkumar Shah Ah'bad To Nagpur  dt. 19.08.23</t>
  </si>
  <si>
    <t>INPT232423463</t>
  </si>
  <si>
    <t>for Air Tkt. Mr. Vikramkumar Shah Nagpur to Ah'bad  dt. 21.08.23</t>
  </si>
  <si>
    <t>INPT232423735</t>
  </si>
  <si>
    <t>INPT232424065</t>
  </si>
  <si>
    <t>for Air Tkt. Mr. Vikramkumar Shah Nagpur to Ah'bad  dt. 23.08.23</t>
  </si>
  <si>
    <t>INPT232424299</t>
  </si>
  <si>
    <t>for Air Tkt. Mr. Vikramkumar Shah Ah'bad to Nagpur dt. 26.08.23</t>
  </si>
  <si>
    <t>INPT232424835</t>
  </si>
  <si>
    <t>for Air Tkt. Mr. Vikramkumar Shah Nagpur To Ah'bad dt. 28.08.23</t>
  </si>
  <si>
    <t>INPT232425329</t>
  </si>
  <si>
    <t>for Air Tkt. Mr. Ajay Rajaram Dumbere Nagpur To Pune dt. 29.08.23 ( Dr. Kessels Engg)</t>
  </si>
  <si>
    <t>DEBIT NOTE</t>
  </si>
  <si>
    <t>Debit Note Against Kessle Engg</t>
  </si>
  <si>
    <t>Paid to Minal Tiphin Services</t>
  </si>
  <si>
    <t>Air ticket charges of Mr. Ajay Dambare from Kessels transfer on account.</t>
  </si>
  <si>
    <t>X2/1250/23-24</t>
  </si>
  <si>
    <t>Copper Shielded Cable 1.5Sqmm x 2Core, Digital Multimeter Rishab-410, Screw Driver Kit 1013, Screw Driver Sets 812, for power plant</t>
  </si>
  <si>
    <t>X2/1251/23-24</t>
  </si>
  <si>
    <t>Rechargable LED Buld 18 Watt, Rechargable LED Buld 20 Watt, Angle Holder Bulb, Angle Holder Bend, for Powerplant boiler WTP PCC Room</t>
  </si>
  <si>
    <t>X2/1253/23-24</t>
  </si>
  <si>
    <t>MPCB 10-20 Amp Siemens, for WTP</t>
  </si>
  <si>
    <t>X2/1254/23-24</t>
  </si>
  <si>
    <t>Rotary Switch 06 Amp 4 Pole, MCB 2 Amp 2 Pole, MCB 6 Amp 2 Pole, MCB 10 Amp 2 Pole, MCB 16 Amp 2 Pole, for Power Plant Control Pannel Use</t>
  </si>
  <si>
    <t>034/S/2023-24</t>
  </si>
  <si>
    <t>Labour Chgs. for Cutting of Old Steam Pipe Line &amp; Fitting of Steam Flow Meter Complete Work</t>
  </si>
  <si>
    <t>X2/1248/23-24</t>
  </si>
  <si>
    <t>Universal Calibrater PC UC-45 9Vx2, for Turbine Power Plant</t>
  </si>
  <si>
    <t>Being excess of errection charged settled as per their payment request letter dated 11.07.2023 on account.</t>
  </si>
  <si>
    <t>B000921</t>
  </si>
  <si>
    <t>for Room Tariff &amp; Room Service from 12.08.23 To 15.08.23 for Mr. Megh Shyam from Kessels  Engg.</t>
  </si>
  <si>
    <t>B000993</t>
  </si>
  <si>
    <t>for Room Tariff &amp; Room Service from 19.08.23 To 23.08.23 for Mr. Megh Shyam from Kessels  Engg.</t>
  </si>
  <si>
    <t>B001035</t>
  </si>
  <si>
    <t>for Room Tariff &amp; Room Service from 26.08.23 To 28.08.23 for Mr. Megh Shyam from Kessels  Engg.</t>
  </si>
  <si>
    <t>B001036</t>
  </si>
  <si>
    <t>for Room Tariff &amp; Room Service from 25.08.23 To 28.08.23 for Mr. Deepak Kumar from Kessels  Engg.</t>
  </si>
  <si>
    <t>B001050</t>
  </si>
  <si>
    <t>for Room Tariff &amp; Room Service from 11.08.23 To 29.08.23 for Mr. Megh Shyam from Kessels  Engg.</t>
  </si>
  <si>
    <t>WH-207/23-24</t>
  </si>
  <si>
    <t>Pvc Pipe 1.55 MM (3 Mtr), Pvc Electric Bend, for SLDC Connectivity</t>
  </si>
  <si>
    <t>1899/23-24</t>
  </si>
  <si>
    <t>Butterfly Valve 6", for cooling tower rail work</t>
  </si>
  <si>
    <t>RTE/23-24/00107</t>
  </si>
  <si>
    <t>Pressure Gauge Diaphragm Sensing Size 150mm, for Boiler PA Fan discharge pressure</t>
  </si>
  <si>
    <t>Being  Expansion related technical staff salary capitalised for the month of Aug'23</t>
  </si>
  <si>
    <t>Being Expansion related staff OT capitalised for the month of Aug'23</t>
  </si>
  <si>
    <t>Pre-Operative Expenses on PL &amp; MC</t>
  </si>
  <si>
    <t>Pre-Operative Exp on PL &amp; MC</t>
  </si>
  <si>
    <t>Being Coal consumption Used at the time of Continuous Power Trial Run for the month of Aug'23 ( On Trial proportion 259.67 MT)</t>
  </si>
  <si>
    <t>GROSS TOTAL (D)</t>
  </si>
  <si>
    <t>for Lodging Chgs. from 07.09.23 To 17.09.23 to Shri Ajay Dumbhare, Pune Kessels Engg.</t>
  </si>
  <si>
    <t>23-24-088</t>
  </si>
  <si>
    <t>IEC-104 Rtu with Remote I/Os, IIOT with AWS Database Annual, for RTO Pannel for SLDC</t>
  </si>
  <si>
    <t>Stride Auromations</t>
  </si>
  <si>
    <t>SE23FY-00370</t>
  </si>
  <si>
    <t>Digital Megger 500v, for Power Plant Electrical Testing</t>
  </si>
  <si>
    <t>RKES\23-24\063</t>
  </si>
  <si>
    <t>for Testing 1) Generator Relay Testing 2) Relay Testing Kit Chgs. 1 Day</t>
  </si>
  <si>
    <t>X2/1332/23-24</t>
  </si>
  <si>
    <t>Water Tank 10000 Ltr Plasto, &amp; Hamali, for WTP Soft Water Storage</t>
  </si>
  <si>
    <t>Turbine Oil 68, for Turbine Lubrication &amp; Hydrulic System</t>
  </si>
  <si>
    <t>KES/063/23-24</t>
  </si>
  <si>
    <t>for Errection &amp; Commissioning 2.0 MW STG Set less tds 2%</t>
  </si>
  <si>
    <t>Being Coal consumption Used at the time of Continuous Power Trial Run for the month of Sept'23 ( On Trial proportion for 29.710)</t>
  </si>
  <si>
    <t>Paid to Train Tkt. Nagpur to Pune dt. 30.09.23 to Shri Ajay Dumbhare from Kessles</t>
  </si>
  <si>
    <t>Ajay Dumbhare</t>
  </si>
  <si>
    <t>Take Of Enterprises</t>
  </si>
  <si>
    <t>12/RE/23-24</t>
  </si>
  <si>
    <t>33 Kv Isolator 400A Without Structure, Dismentalling of Check Metering CT &amp; PT, for Meetring Room</t>
  </si>
  <si>
    <t>Raj Engineering</t>
  </si>
  <si>
    <t>3cx185 33Kv Indoor HT Termination Kit, for MSEDCL Meter Cubical</t>
  </si>
  <si>
    <t>RKES\23-24\066</t>
  </si>
  <si>
    <t>ABT METER, for MSEDCL Meter</t>
  </si>
  <si>
    <t>Being  Expansion related technical staff salary capitalkised for the month of Sept'23</t>
  </si>
  <si>
    <t>Being Expansion related staff OT capitalised for the month of Sept'23</t>
  </si>
  <si>
    <t>Being Non-eligible GST disallowed against Darshan Hotel Invoices of Agug'23</t>
  </si>
  <si>
    <t>Amount Paid</t>
  </si>
  <si>
    <t>Date of Payment</t>
  </si>
  <si>
    <t>13-06-2023, 12/05/2023</t>
  </si>
  <si>
    <t>10/02/2022  , 20/05/2022,  02/08/2023</t>
  </si>
  <si>
    <t>18/01/2023,  07/02/2023</t>
  </si>
  <si>
    <t>08-04-2022, 07/07/2022</t>
  </si>
  <si>
    <t>09/05/2023, 07/04/2023, 08/04/2023, 17/04/2023, 27/04/2023, 28/04/2023</t>
  </si>
  <si>
    <t>05/10/2021, 28/10/2021, 27/12/2021</t>
  </si>
  <si>
    <t>11/03/2022, 21/10/2022, 19/11/2022, 19/11/2022, 13/05/2022</t>
  </si>
  <si>
    <t>06/12/2022, 14/10/2022</t>
  </si>
  <si>
    <t xml:space="preserve">24/08/2023, </t>
  </si>
  <si>
    <t>24-07-2023, 24/08/2023</t>
  </si>
  <si>
    <t>25/05/2023, 30/08/2023, 13/09/2023</t>
  </si>
  <si>
    <t>11-01-2023, 13/05/2023</t>
  </si>
  <si>
    <t>10-02-2023, 13/05/2023</t>
  </si>
  <si>
    <t>27-03-2023, 13/05/2023</t>
  </si>
  <si>
    <t>23/12/2021, 13/04/2022</t>
  </si>
  <si>
    <t>18/09/2021, 11/11/2021, 31/01/2022</t>
  </si>
  <si>
    <t>17/07/2023, 21/08/2023</t>
  </si>
  <si>
    <t>18/09/2021, 11/11/2021, 31/01/2022, 17/07/2023, 21/08/2023</t>
  </si>
  <si>
    <t>02/09/2022, 06/10/2022</t>
  </si>
  <si>
    <t>02/09/2022, 31/10/2022, 10/01/2023</t>
  </si>
  <si>
    <t>25/06/2022, 16/08/2022</t>
  </si>
  <si>
    <t>19/01/2022, 14/02/2022</t>
  </si>
  <si>
    <t>22/02/2022, 29/07/2022</t>
  </si>
  <si>
    <t>11/08/2023, 18/08/2023</t>
  </si>
  <si>
    <t>18/08/2023, 03/10/2023</t>
  </si>
  <si>
    <t>24/03/2022, 29-07-2022</t>
  </si>
  <si>
    <t>19/10/2022, 20/10/2022, 21/10/2022</t>
  </si>
  <si>
    <t>27/01/2023, 28/01/2023, 29/01/2023</t>
  </si>
  <si>
    <t>23/04/2023, 24/04/2023</t>
  </si>
  <si>
    <t>04/05/2023, 05/05/2023, 06/05/2023</t>
  </si>
  <si>
    <t>10/06/2023, 11/06/2023, 12/06/2023</t>
  </si>
  <si>
    <t>18/01/2023, 07/02/2023, 07/02/2023</t>
  </si>
  <si>
    <t>05/05/2022, 29/08/2022</t>
  </si>
  <si>
    <t>24-05-2023, 25/05/2023, 26/05/2023, 09/06/2023</t>
  </si>
  <si>
    <t>09/06/2023, 09/06/2023, 10/06/2023, 12/06/2023</t>
  </si>
  <si>
    <t>30-12-2021, 12/04/2022</t>
  </si>
  <si>
    <t>30-12-2021, 05/07/2022</t>
  </si>
  <si>
    <t>25-08-2022, 28/06/2022</t>
  </si>
  <si>
    <t>08-01-2021, 25/05/2021, 10/06/2021, 02/07/2021, 02/07/2021, 01/11/2022</t>
  </si>
  <si>
    <t>28-12-2022, 06/02/2023</t>
  </si>
  <si>
    <t>19-12-2022, 29/07/2023</t>
  </si>
  <si>
    <t>10-05-2023, 14/06/2023</t>
  </si>
  <si>
    <t>06/09/2022, 29/09/2022</t>
  </si>
  <si>
    <t>25-05-2023, 24/08/2023, 30/08/2023, 13/09/2023, 30/09/2023</t>
  </si>
  <si>
    <t>Nagpur to Factory Visit to Shri Dumbhareji from Kessles</t>
  </si>
  <si>
    <t>Shri Dumbhareji from Kessles</t>
  </si>
  <si>
    <t>Paid to Shri Prashant Driver ag. Driver Exp. for Shri Vikram Shah Factory Visit 4 Days</t>
  </si>
  <si>
    <t>Shri Vikram Shah</t>
  </si>
  <si>
    <t>Paid to Shri Yogesh Driver ag. Driver Exp, Toll &amp; Parking for Kessels Engg. Pickup from Airport  for Factory Visit</t>
  </si>
  <si>
    <t>Shri Yogesh Drive</t>
  </si>
  <si>
    <t>for Lodging &amp; Boarding to Mr Ajay Dumbhare from Kessels (01.10.23 To 09.10.23)</t>
  </si>
  <si>
    <t>Lodging &amp; Boarding for Shri Kiran Jagdale from Aurangabad</t>
  </si>
  <si>
    <t>Ag. Taxi Exp. Factory to Airtport to Shri Dumbhareji from Kessels</t>
  </si>
  <si>
    <t>from Kessels for Taxi Exp. Kondhali to Nagpur</t>
  </si>
  <si>
    <t>Shri Parvez Alam</t>
  </si>
  <si>
    <t>for Lodging &amp; Boarding Exp. to Shri Parvez Alam from Kessels Engg. from 08.10.23 To 20.10.23</t>
  </si>
  <si>
    <t>FSI/2023-24/0466</t>
  </si>
  <si>
    <t>M.S. Channel 75x40, &amp; Hamali, for Shed Work</t>
  </si>
  <si>
    <t>FSI/2023-24/0465</t>
  </si>
  <si>
    <t>MS Tube RHS 50X50X29MM, &amp; Hamali, for Shed Work</t>
  </si>
  <si>
    <t>PPGI Coated Coil/Sheets, for Parking Shed</t>
  </si>
  <si>
    <t>LA/23-24/1685</t>
  </si>
  <si>
    <t>Siemens Relay 3UA55002A O/L Relay 10-16A, for New Modification of PA Line for New Motor Installation</t>
  </si>
  <si>
    <t>SE23FY-00442</t>
  </si>
  <si>
    <t>GI Hex Screw 10x25 with Nut &amp; 2 Washer, GI Hex Screw 10x50 with Nut &amp; 2 Washer, GI Hex Screw 12x50 with Nut &amp; 2 Washer, Aluminium Lugs Ring Type 10sqmm, Aluminium Lugs Ring Type 16sqmm, Aluminium Lugs Ring Type 25 Sq.mm, Aluminium Lugs Ring Type 35 Sq.mm, Aluminium Lugs Ring Type 50 Sq.mm, for Earthing Pit Paper Machine</t>
  </si>
  <si>
    <t>SE23FY-00443</t>
  </si>
  <si>
    <t>Aluminium Cable 10sqmm Coil, SS Allen Screw Full Thread 8x75, GI Hex Screw 6x25 with Nut &amp; 2 Washer, GI Hex Screw 8x25 with Nut &amp; 2 Washer, Aluminium Lugs Ring Type 16sqmm, Aluminium Lugs Ring Type 25 Sq.mm, for Hub for Earthing Pit Work</t>
  </si>
  <si>
    <t>HO/1096/23-24</t>
  </si>
  <si>
    <t>Aluminium Unarmoured Cable Single Core 25sqmmx1core, Aluminium Unarmoured Cable Single Core 25sqmmx1core, Pvc Insulation Single Core Aluminium Cable 50Sqmmx1, Pvc Insulation Single Core Aluminium Cable 35Sqmmx1, for Earthing Pit Paper machine</t>
  </si>
  <si>
    <t>20-04-2022, 15/12/2021</t>
  </si>
  <si>
    <t>12-11-2022, 15/12/2021</t>
  </si>
  <si>
    <t>02/06/2022, 29/09/2022</t>
  </si>
  <si>
    <t>23-12-2021, 03/01/2022</t>
  </si>
  <si>
    <t>03/12/2022, 22/12/2022, 23/12/2022, 23/12/2022</t>
  </si>
  <si>
    <t>29/07/2021, 29/07/2021, 06/01/2022, 25/08/2022</t>
  </si>
  <si>
    <t>09/07/2022, 22/07/2022</t>
  </si>
  <si>
    <t>04-10-2022, 16/11/2022</t>
  </si>
  <si>
    <t>29/08/2022, 21/10/2022</t>
  </si>
  <si>
    <t>04/12/2021, 25/03/2022</t>
  </si>
  <si>
    <t>INPT232431189</t>
  </si>
  <si>
    <t>for Air Tkt. to Shri Vikramkumar Shah from Drashta Power from Ahmedabad to Nagpur dt. 05.10.23</t>
  </si>
  <si>
    <t>INPT232432095</t>
  </si>
  <si>
    <t>for Air Tkt. to Shri Vikramkumar Shah from Drashta Power from Nagpur To Ahmedabad dt. 08.10.23</t>
  </si>
  <si>
    <t>B001249</t>
  </si>
  <si>
    <t>for Lodging Chgs. to Shri Vikramkumar Shah from Drashta Power from 05.10.23 To 08.10.23</t>
  </si>
  <si>
    <t>24-03-2022, 08/04/2022</t>
  </si>
  <si>
    <t>09/05/2023, 30/06/2023</t>
  </si>
  <si>
    <t>19/07/2022, 26/07/2022</t>
  </si>
  <si>
    <t>29/09/2023, 04/10/2023</t>
  </si>
  <si>
    <t>10/10/2023, 16/10/2023</t>
  </si>
  <si>
    <t>10/10/2023, 11/10/2023</t>
  </si>
  <si>
    <t>20/10/2023, 21/10/2023, 23/10/2023</t>
  </si>
  <si>
    <t>Steel Tube as under ERW Tube</t>
  </si>
  <si>
    <t>04/03/2021, 29/07/2021, 06/09/2021</t>
  </si>
  <si>
    <t>21-09-2022, 21/09/2022, 11/01/2023, 06/02/2023, 18/03/2023, 20/03/2023, 31/03/2023</t>
  </si>
  <si>
    <t>29-08-2022, 22/02/2022</t>
  </si>
  <si>
    <t>20/10/2022, 27/12/2022</t>
  </si>
  <si>
    <t>28/06/2022, 14/12/2022</t>
  </si>
  <si>
    <t>27/01/2023, 27/01/2023</t>
  </si>
  <si>
    <t>05-07-2022, 21/03/2022</t>
  </si>
  <si>
    <t>14/02/2023, 08/04/2023</t>
  </si>
  <si>
    <t>23/06/2021, 20/07/2021, 22/09/2021</t>
  </si>
  <si>
    <t>20/05/2022, 29/08/2022, 21/09/2022, 18/11/2022</t>
  </si>
  <si>
    <t>11-01-2023, 19/04/2023</t>
  </si>
  <si>
    <t>19-04-2023, 24/08/2023</t>
  </si>
  <si>
    <t>09/06/2021, 24/11/2021</t>
  </si>
  <si>
    <t>Paid to Tiphin Exp. to Shri Dumbhare, Shri Mohd. Asraf &amp; Parvej Alam from Kessels Engg.</t>
  </si>
  <si>
    <t>Shri Dumbhare</t>
  </si>
  <si>
    <t>2023-24/081</t>
  </si>
  <si>
    <t>for Consultancy Chgs. &amp; Visit Chgs. 3x15000/-</t>
  </si>
  <si>
    <t>HO/1095/23-24</t>
  </si>
  <si>
    <t>Aluminium Multi  Strand Pvc Insu Cable 16mm, Aluminium Multi  Strand Pvc Insu Cable 25mm, Pvc Cable Clip 10mm, Pvc Cable Clip 16mm, Pvc Cable Clip 25mm, Earthing Powder, GI Earthing Rod 48 x 2 MTR &amp; Hamali, for Earthing Pit Paper M/c</t>
  </si>
  <si>
    <t>Eetamax Eels 100W ML FL Led Light, Eetamax Eels 50W ML FL Led Light, for Boiler Street Light</t>
  </si>
  <si>
    <t>for DM Plant Servicing &amp; Traning Chgs.</t>
  </si>
  <si>
    <t>GST Disallowed for Future Steel &amp; JP &amp; Sons (5612+11990)</t>
  </si>
  <si>
    <t>23-24-108</t>
  </si>
  <si>
    <t>for Relay coordination and Testing of 33kv grid islanding relay reverse power etc.</t>
  </si>
  <si>
    <t>Being  Expansion related technical staff salary capitalkised for the month of Oct'23</t>
  </si>
  <si>
    <t>Being Expansion related staff OT capitalised for the month of Oct'23</t>
  </si>
  <si>
    <t>Being Coal consumption Used at the time of Continuous Power Trial Run for the month of Oct'23 (1039.820+261.410)</t>
  </si>
  <si>
    <t>Coal</t>
  </si>
  <si>
    <t>04/02/2022,14-10-2022, 10/11/2023</t>
  </si>
  <si>
    <t>ag. Lodging &amp; Boarding Exp. for QCS Training Mumbai</t>
  </si>
  <si>
    <t xml:space="preserve">Mahesh Mirashe </t>
  </si>
  <si>
    <t>Freight for Boiler Tube from Motilal Sanghvi, Mumbai vide Lr.no. VHD/P/2200 &amp; 2262</t>
  </si>
  <si>
    <t>14/07/2023, 09/08/2023, 08/09/2023, 08/09/2023, 10/11/2023, 29/11/2023</t>
  </si>
  <si>
    <t>16-10-2023, 29/11/2023</t>
  </si>
  <si>
    <t>for Professional Chgs, for Valuation Factory Site through SBI</t>
  </si>
  <si>
    <t>Nitin Chahande (Valuer)</t>
  </si>
  <si>
    <t>23GBI3878</t>
  </si>
  <si>
    <t>FCS Weldneck Flange 3", FCS Weldneck Flange 2", CS Seamless Reducing Socket 3"x2", CI Sluice Valve Flanged Ends 6" &amp; Hamali for Boiler</t>
  </si>
  <si>
    <t>Being Expansion related staff salary &amp; OT capitalised for the month of Nov'23</t>
  </si>
  <si>
    <t>Being Coal consumption Used for Power work Run in the month of  Nov'23 ( 1026.260+257.300)</t>
  </si>
  <si>
    <t>Being Paid Travelling and Toll Expenses for Site Valuation</t>
  </si>
  <si>
    <t>for 3 Trip Sand, 2 Trip Metal &amp; 1000 Nos. Bricks for DM Plant Storage Tank Foundation Work</t>
  </si>
  <si>
    <t>WH-322/23-24</t>
  </si>
  <si>
    <t>TMT Bar 16mm, TMT Bar 12mm, TMT Bar 10mm, Bianding Wire (Centring Tar), Hamali, for WTP DM Storage Tank RCC Work</t>
  </si>
  <si>
    <t>WH-323/23-24</t>
  </si>
  <si>
    <t>Cement PPC (Ultratech 50Kg), and Hamali, for DM Plant Foundation work for Storage Tank</t>
  </si>
  <si>
    <t>Work Acknowledgment No. 737 dt. 12.12.23 16mm 55 Nos &amp; 12mm 54 Nos Steel Rod Grouting Work Labour Chgs. for WTP Storage Tank Foundation</t>
  </si>
  <si>
    <t>Prashant Palekar</t>
  </si>
  <si>
    <t>Water Treatment Plant, Water Tank, Foundation work, etc.</t>
  </si>
  <si>
    <t>Shri Bablu Bisen</t>
  </si>
  <si>
    <t>for Water Storage Tank</t>
  </si>
  <si>
    <t>GATPL/23-24/43</t>
  </si>
  <si>
    <t>FSI/2023-24/0662</t>
  </si>
  <si>
    <t>FSI/2023-24/0663</t>
  </si>
  <si>
    <t>MS Angle, Ms Channel, for Ash Silo Work (Plateform Boiler and Stair case Side)</t>
  </si>
  <si>
    <t>MS Chequered Plate, Ms Channel, MS Angle for Ash Silo work Boiler (Platform Boiler and Stair case side)</t>
  </si>
  <si>
    <t>civil work for water tank foundation &amp; Boiler Work</t>
  </si>
  <si>
    <t>Bablu</t>
  </si>
  <si>
    <t>Coconut Rope for Boiler Bhada work</t>
  </si>
  <si>
    <t>FSI/2023-24/0671</t>
  </si>
  <si>
    <t>MS Plate HR 12mm, &amp; Hamali, for Coal Crusher Line Plate Making for Boiler CHP Plant</t>
  </si>
  <si>
    <t>for 1 Trip Sand, 2000 Nos. Bricks for Foundation Work DM Water Tank</t>
  </si>
  <si>
    <t>100 5000</t>
  </si>
  <si>
    <t>ANSI Stop Valve 6" IBR Class#300, for Boiler PRS Line Pressure Reducing Station</t>
  </si>
  <si>
    <t>23GBI4420</t>
  </si>
  <si>
    <t>CI Butterfly Valve 4" SS Disc, for WTP New DM Water Tank Pipeline Fitting</t>
  </si>
  <si>
    <t>23GBI4428</t>
  </si>
  <si>
    <t>SS Pipe 304 Welded ERW 4", CI Butterfly Valve 2" SS Disc, &amp; Hamali for WTP New Tank Work Installation</t>
  </si>
  <si>
    <t>23GBI4431</t>
  </si>
  <si>
    <t>MS Slipon Flange 2", for WTP New Tank Work</t>
  </si>
  <si>
    <t>1665/2023-24</t>
  </si>
  <si>
    <t>Giant 50W WH Oscar F/L, Giant 100W WH Oscar F/L, for Boiler &amp; Powerplant Illumination Work</t>
  </si>
  <si>
    <t>JH Lightings</t>
  </si>
  <si>
    <t>SE23FY-00616</t>
  </si>
  <si>
    <t>Upvc Pipe 2" Sch 40, Upvc Socket 2", U Pvc Bend 2" Short, Upvc Tee 2" x 2", for WTP Neutral Pit Water Discharge Line</t>
  </si>
  <si>
    <t>SE23FY-00617</t>
  </si>
  <si>
    <t>Oil Seal 30 x 47 x 7, Angle Grinder 4" Bosch Heavy, G.I. U Clamp 1", for 1) Boiler Rotary Gear Box 2) Maint. use 3) Economizer Coil Locking use Boiler</t>
  </si>
  <si>
    <t>25,26,27/12/2023</t>
  </si>
  <si>
    <t>LR-107</t>
  </si>
  <si>
    <t>Omkar Transport Co.</t>
  </si>
  <si>
    <t>Freight for Water Storage Tank from Granu Aqua for WTP DM Plant</t>
  </si>
  <si>
    <t>Labour Chgs. for Water Treatment Plant Tank Foundation Civil Work</t>
  </si>
  <si>
    <t xml:space="preserve">Shri Manish Patil ag. </t>
  </si>
  <si>
    <t>Civil Work Advance for WTP Foundation Work (Shri Manish Patil)</t>
  </si>
  <si>
    <t xml:space="preserve">Shri Krishna Bagade ag. </t>
  </si>
  <si>
    <t>Shri Manish Patil</t>
  </si>
  <si>
    <t>Being Expansion related staff salary &amp; OT capitalised for the month of Dec'23</t>
  </si>
  <si>
    <t>Being Coal consumption Used for Power work Run in the month of  DEC'23 ( 956.330-877.59= 78.74 used for Power)</t>
  </si>
  <si>
    <t>080/W/2023-24</t>
  </si>
  <si>
    <t>Charges for Water Valve MPV Tubes 234 Nos, Charges for Water Valve Streat Furnace Tubes 81 Nos, for Boiler Work</t>
  </si>
  <si>
    <t>Freight for Boiler Tube from Nav Durga Boiler P. Ltd. vide Veh.no. MH-32 AJ-1973</t>
  </si>
  <si>
    <t>Himanshu Wandhare</t>
  </si>
  <si>
    <t>Frieight for Boiler Tube</t>
  </si>
  <si>
    <t>085/W/2023-24</t>
  </si>
  <si>
    <t>for Manufacturing of Economizer Coil with Mtrl. 14 Nos. with Hydraulic Test &amp; Approved by Boiler Inspector as per IBR for Boiler No. MR/16449</t>
  </si>
  <si>
    <t>FSI/2023-24/0654</t>
  </si>
  <si>
    <t>MS Plate HR 8mm &amp; Hamali, for Boiler Coal Hoper Use</t>
  </si>
  <si>
    <t>3824/23-24</t>
  </si>
  <si>
    <t>Gasket Sheet Metallic 3mmx1500x2000 Style-54, Asbestos Rope 8mm, 1"x800# Globe Valve S/W Gr. A105 &amp; Hamali, for Boiler PRS Gasket Line</t>
  </si>
  <si>
    <t>Hindustan Mill Stores</t>
  </si>
  <si>
    <t>FSI/2023-24/0683</t>
  </si>
  <si>
    <t>MS Flat 65x8, MS Flat 40x6, MS Angle 50x6, &amp; Hamali, for Boiler Tube Work Water Wall</t>
  </si>
  <si>
    <t>GST-361</t>
  </si>
  <si>
    <t>Dome Element with Tungston Carbied, Dome Slicon Inflatable Seals, for ESP Dome</t>
  </si>
  <si>
    <t>149/23-24</t>
  </si>
  <si>
    <t xml:space="preserve">Supply &amp; Application LRB Mattresses 100Kg/m3 50mm T, Supply &amp; Application LRB Mattresses 100Kg/m3 100mmT, Supply &amp; Application LRB Mattresses 100Kg/m3 150mmT, Supply &amp; Application LRB Mattresses 100Kg/m3 200mmT, Dismantling/Removing of Old Insulation Charges, for Boiler Thermal Insulation </t>
  </si>
  <si>
    <t>099/S/2023-24</t>
  </si>
  <si>
    <t>for removing &amp; refitting of Economizer Coil 14 Nos with casting plate &amp; fitting with Hydraulic Aprroved Boiler Inspector IBR 2) Chgs. removing &amp; refitting old Econimizer coil 6 Nos. with repairing work</t>
  </si>
  <si>
    <t>OTHER MACHINERIES</t>
  </si>
  <si>
    <t>for Foundation Work of Conveyor &amp; Other work</t>
  </si>
  <si>
    <t>SS Nut Bolt different Size, on Shut Down</t>
  </si>
  <si>
    <t>SS Weldfast Welding Rod, M.S. Welding Rod, for Boiler Work &amp; Other</t>
  </si>
  <si>
    <t>Aloxite  Emery Tape Roll No.120, for other Work</t>
  </si>
  <si>
    <t>PRESSURE SCREEN</t>
  </si>
  <si>
    <t>PAPER ROLL ASSEMBLE</t>
  </si>
  <si>
    <t>20 Ton S/A Low Height Cylinder 700 Bar Stroke 62mm, 50 Ton S/A Spring Retn L Height Cylinder Stronk 60m, for other Work</t>
  </si>
  <si>
    <t>SS Nut Bolt 8 x 40, Welding Cable Aluminium 95 Sqmm, Welding Holder 1000 Amp, Head Screen, Hand Screen, for Fabrication work &amp; Other</t>
  </si>
  <si>
    <t>CONVEYOR ASSEMBLY</t>
  </si>
  <si>
    <t>VIBRATING SCREEN</t>
  </si>
  <si>
    <t>QUALITY CONTROL SYSTEM (QCS)</t>
  </si>
  <si>
    <t>SS Weldfast Welding Rod, Buffing Wheel, for Other Dept.</t>
  </si>
  <si>
    <t>Hex Head Screw with Nut &amp; Washer, Rustolene, for other Dept.</t>
  </si>
  <si>
    <t>Industrial Oxygen Gas (RMG), for other Work</t>
  </si>
  <si>
    <t>MS Flange 8" for other Work</t>
  </si>
  <si>
    <t>Welding Machine GB-315 AMP 2PH, Male Female Socket 200 Amp, for other Dept</t>
  </si>
  <si>
    <t>Welding Machine GB-315 AMP 2PH, for other Works</t>
  </si>
  <si>
    <t>G.I. L Hook 10 x 4", Grinding Wheel 4"x4mm, for Machine Hall &amp; other Works</t>
  </si>
  <si>
    <t>Hex Head Screw 5/8"x2" with Nut &amp; Washer, MS Hex Head Screw 5/8"x3", M S Hex Head Screw 5/8"x5", Cotton Waste, M S Hex Head Screw 5/8"x5", for other Work</t>
  </si>
  <si>
    <t>Emery Paper No. 120 2", M.S. Welding Rod 3.15mm(Box), for other Work &amp; Welding work</t>
  </si>
  <si>
    <t>SS Hex Head Screw 16 x 120, MS Hex Head Screw 5/8"x3", MS Hex Head Screw 1/2"x5", MS Hex Head Screw 1/2"x3", for 1) Wire Part 2)3)4) other Work</t>
  </si>
  <si>
    <t>Industrial Oxygen Gas (RMG) for other work</t>
  </si>
  <si>
    <t>H.T. Bolt Half Thread 8 x 40, H.T. Bolt Half Thread 8 x 50, MS Nut Bolt &amp; Washer 5/8x2, MS Nut Bolt &amp; Washer 1/2x2, MS Nut Bolt Washer 5/8 x 3, M.S. Welding Rod 3.15mm(Box), for  1)2) 3) 4)5) Coupling &amp; other Work 6) Welding Work</t>
  </si>
  <si>
    <t>L Hook - K 8" x 3", MS Hex Head Screw 5/8"x3", for M/c Hall, Pop reel sheet replace &amp; other Work</t>
  </si>
  <si>
    <t>Cutting Wheel 4" x 2.5mm, Grinding Wheel AG-4 100x6x16, for other Work</t>
  </si>
  <si>
    <t>SHED</t>
  </si>
  <si>
    <t>CPvc Bend 2" Astral, Astral C Pvc Socket 2", for Air Line Work &amp; other Work</t>
  </si>
  <si>
    <t>MS Nut Bolt Washer, different size, for other work</t>
  </si>
  <si>
    <t>PULP MILL &amp; PAPER MACHINE LINE</t>
  </si>
  <si>
    <t>GROSS TOTAL</t>
  </si>
  <si>
    <t>097/S/2023-24</t>
  </si>
  <si>
    <t>Charges for Water Valve MPV Tubes 234 Nos, Charges for Water Valve Streat Furnace Tubes 81 Nos, for Boiler Work (Work Completed)</t>
  </si>
  <si>
    <t>098/S/2023-24</t>
  </si>
  <si>
    <t>Charges for removing &amp; refitting of water valve streat furnace tubes with Grinding welding complete work with Hydraulic test &amp; approved by Boiler Inspector as per IBR for Boiler No. MR/16449 Qty. 81 Nos.</t>
  </si>
  <si>
    <t>0100/S/2023-24</t>
  </si>
  <si>
    <t>Charges for Refractory work of furnace &amp; Economizer complete work</t>
  </si>
  <si>
    <t>Non-Eligible GST (Disallowed)</t>
  </si>
  <si>
    <t>INPT232448581</t>
  </si>
  <si>
    <t>for Air Tkt. Cancellation Mr. Bikram Kumar Mohanty Delhi To Nagpur dt. 18.01.24</t>
  </si>
  <si>
    <t>INPT232449060</t>
  </si>
  <si>
    <t>or Air Tkt. Mr. Vikram Shah Nagpur To Ahmedabad dt. 20.01.24 from Drashta Power Consultant</t>
  </si>
  <si>
    <t xml:space="preserve">INPT232449057 </t>
  </si>
  <si>
    <t>for Air Tkt. Mr. Vikram Shah hmedabad to Nagpur dt. 20.01.24 from Drashta Power Consultant</t>
  </si>
  <si>
    <t>Being Non-eligible GST disallowed of Pawansut Travels for the month of Jan'24 (46+46+46)</t>
  </si>
  <si>
    <t xml:space="preserve">B.No. 568 </t>
  </si>
  <si>
    <t>Paid to Yash Lodging &amp; Boarding for Lodging &amp; Tifin Exp. to Shri Ajay Dumbare from 13.01.24 To 17.01.24</t>
  </si>
  <si>
    <t>Shri Ajay Dumbare</t>
  </si>
  <si>
    <t>B.No. 8625</t>
  </si>
  <si>
    <t>for Lodging &amp; Boarding Exp. from 17.01.24 To 22.01.24 to Mr. Vikram for Governer Programming Work, Mr. Ajay Dunbhare &amp; Mr. Amit Kessels Engg.</t>
  </si>
  <si>
    <t>Dashmesh Dhaba (Kondhali Restaurnt)</t>
  </si>
  <si>
    <t>BA/23-24/318</t>
  </si>
  <si>
    <t>O2 Sensor for Boiler, Engineer Visit, 4 Care Mylar Tape Overall Shielded Unarmoured, for Boiler Oxygen Measuring Purpose</t>
  </si>
  <si>
    <t>Bhoomi Analyzers</t>
  </si>
  <si>
    <t>2023-24/203</t>
  </si>
  <si>
    <t>Walky-Talky Systems Lenovo, for Plant</t>
  </si>
  <si>
    <t>0105/S/2023-24</t>
  </si>
  <si>
    <t>Charges for Insulation work for Boiler Furnace with material LRB complete work with Aluminium clading with Charges for Govt. Challan</t>
  </si>
  <si>
    <t>HO/1660/23-24</t>
  </si>
  <si>
    <t>Aluminium Sheet (Coil), &amp; Hamali for Boiler Insulation Work</t>
  </si>
  <si>
    <t>Paid to Train Tkt. Pune To Nagpur to Shri Ajay Dumbere Kessels Engg.</t>
  </si>
  <si>
    <t>INPT232453243</t>
  </si>
  <si>
    <t>for Air Tkt. Mr. Pandurang Kawade Pune to Nagpur &amp; Nagpur to Pune Tkt.  from Retro Therm Innovation for Boiler Technical Work</t>
  </si>
  <si>
    <t>for Lodging Exp. to Mr. Ajay Dumbhare from Kessels Engg. Period from 12.02.24 To 23.02.24</t>
  </si>
  <si>
    <t>ag. Tifin Exp. to Mr. Ajay Dumbhre from Kessels 12 Days</t>
  </si>
  <si>
    <t>Train Tkt. Nagpur to Pune to Shri Ajay Dumbere, Kessels Engg. dt. 27.02.24</t>
  </si>
  <si>
    <t xml:space="preserve"> Shri Ajay Dumbere</t>
  </si>
  <si>
    <t>Inv.no. 9468 dt. 29.02.24 for Lodging &amp; Boarding Expenses for Technical Engineers from Kessels Engg, I-Cal Solution, Kirloskar &amp; Retro Therm Kawade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</si>
</sst>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 #,##0.00_-;_-* &quot;-&quot;??_-;_-@_-"/>
    <numFmt numFmtId="165" formatCode="_(* #,##0.00_);_(* \(#,##0.00\);_(* &quot;-&quot;??_);_(@_)"/>
  </numFmts>
  <fonts count="15" x14ac:knownFonts="1">
    <font>
      <sz val="11"/>
      <color theme="1"/>
      <name val="Calibri"/>
      <family val="2"/>
      <scheme val="minor"/>
    </font>
    <font>
      <sz val="11"/>
      <color theme="1"/>
      <name val="Calibri"/>
      <family val="2"/>
      <scheme val="minor"/>
    </font>
    <font>
      <b/>
      <sz val="14"/>
      <color theme="1"/>
      <name val="Arial"/>
      <family val="2"/>
    </font>
    <font>
      <sz val="12"/>
      <color theme="1"/>
      <name val="Arial"/>
      <family val="2"/>
    </font>
    <font>
      <b/>
      <sz val="14"/>
      <name val="Arial"/>
      <family val="2"/>
    </font>
    <font>
      <b/>
      <sz val="12"/>
      <name val="Arial"/>
      <family val="2"/>
    </font>
    <font>
      <sz val="11"/>
      <color theme="1"/>
      <name val="Arial"/>
      <family val="2"/>
    </font>
    <font>
      <b/>
      <u/>
      <sz val="14"/>
      <name val="Arial"/>
      <family val="2"/>
    </font>
    <font>
      <sz val="12"/>
      <name val="Arial"/>
      <family val="2"/>
    </font>
    <font>
      <b/>
      <sz val="12"/>
      <color theme="1"/>
      <name val="Arial"/>
      <family val="2"/>
    </font>
    <font>
      <b/>
      <sz val="9"/>
      <color indexed="81"/>
      <name val="Tahoma"/>
      <family val="2"/>
    </font>
    <font>
      <sz val="9"/>
      <color indexed="81"/>
      <name val="Tahoma"/>
      <family val="2"/>
    </font>
    <font>
      <b/>
      <u/>
      <sz val="12"/>
      <name val="Arial"/>
      <family val="2"/>
    </font>
    <font>
      <b/>
      <u/>
      <sz val="12"/>
      <color theme="1"/>
      <name val="Arial"/>
      <family val="2"/>
    </font>
    <font>
      <sz val="11"/>
      <name val="Arial"/>
      <family val="2"/>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s>
  <cellStyleXfs count="3">
    <xf numFmtId="0" fontId="0" fillId="0" borderId="0"/>
    <xf numFmtId="164" fontId="1" fillId="0" borderId="0" applyFont="0" applyFill="0" applyBorder="0" applyAlignment="0" applyProtection="0"/>
    <xf numFmtId="165" fontId="1" fillId="0" borderId="0" applyFont="0" applyFill="0" applyBorder="0" applyAlignment="0" applyProtection="0"/>
  </cellStyleXfs>
  <cellXfs count="84">
    <xf numFmtId="0" fontId="0" fillId="0" borderId="0" xfId="0"/>
    <xf numFmtId="0" fontId="3" fillId="0" borderId="0" xfId="0" applyFont="1"/>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164" fontId="4" fillId="0" borderId="1" xfId="1" applyFont="1" applyFill="1" applyBorder="1" applyAlignment="1">
      <alignment horizontal="center" vertical="center" wrapText="1"/>
    </xf>
    <xf numFmtId="164" fontId="5" fillId="0" borderId="1" xfId="1" applyFont="1" applyFill="1" applyBorder="1" applyAlignment="1">
      <alignment horizontal="center" vertical="center" wrapText="1"/>
    </xf>
    <xf numFmtId="0" fontId="6" fillId="0" borderId="0" xfId="0" applyFont="1" applyAlignment="1">
      <alignment wrapText="1"/>
    </xf>
    <xf numFmtId="0" fontId="8" fillId="0" borderId="1" xfId="0" applyFont="1" applyBorder="1" applyAlignment="1">
      <alignment horizontal="center" vertical="center" wrapText="1"/>
    </xf>
    <xf numFmtId="14" fontId="3" fillId="0" borderId="1" xfId="0" applyNumberFormat="1" applyFont="1" applyBorder="1"/>
    <xf numFmtId="0" fontId="3" fillId="0" borderId="1" xfId="0" applyFont="1" applyBorder="1" applyAlignment="1">
      <alignment vertical="top" wrapText="1"/>
    </xf>
    <xf numFmtId="165" fontId="3" fillId="0" borderId="1" xfId="0" applyNumberFormat="1" applyFont="1" applyBorder="1"/>
    <xf numFmtId="164" fontId="3" fillId="0" borderId="1" xfId="1" applyFont="1" applyFill="1" applyBorder="1"/>
    <xf numFmtId="0" fontId="3" fillId="0" borderId="1" xfId="0" applyFont="1" applyBorder="1"/>
    <xf numFmtId="0" fontId="5" fillId="0" borderId="1" xfId="0" applyFont="1" applyBorder="1" applyAlignment="1">
      <alignment horizontal="center" vertical="center" wrapText="1"/>
    </xf>
    <xf numFmtId="165" fontId="9" fillId="0" borderId="1" xfId="0" applyNumberFormat="1" applyFont="1" applyBorder="1"/>
    <xf numFmtId="0" fontId="6" fillId="0" borderId="0" xfId="0" applyFont="1"/>
    <xf numFmtId="164" fontId="6" fillId="0" borderId="0" xfId="1" applyFont="1" applyFill="1"/>
    <xf numFmtId="165" fontId="3" fillId="0" borderId="0" xfId="0" applyNumberFormat="1" applyFont="1"/>
    <xf numFmtId="0" fontId="8" fillId="2" borderId="1" xfId="0" applyFont="1" applyFill="1" applyBorder="1" applyAlignment="1">
      <alignment horizontal="center" vertical="center" wrapText="1"/>
    </xf>
    <xf numFmtId="14" fontId="3" fillId="2" borderId="1" xfId="0" applyNumberFormat="1" applyFont="1" applyFill="1" applyBorder="1"/>
    <xf numFmtId="0" fontId="3" fillId="2" borderId="1" xfId="0" applyFont="1" applyFill="1" applyBorder="1" applyAlignment="1">
      <alignment vertical="top" wrapText="1"/>
    </xf>
    <xf numFmtId="0" fontId="3" fillId="2" borderId="0" xfId="0" applyFont="1" applyFill="1"/>
    <xf numFmtId="0" fontId="6" fillId="0" borderId="1" xfId="0" applyFont="1" applyBorder="1" applyAlignment="1">
      <alignment wrapText="1"/>
    </xf>
    <xf numFmtId="0" fontId="8" fillId="0" borderId="0" xfId="0" applyFont="1" applyAlignment="1">
      <alignment horizontal="center" vertical="center" wrapText="1"/>
    </xf>
    <xf numFmtId="165" fontId="9" fillId="2" borderId="1" xfId="0" applyNumberFormat="1" applyFont="1" applyFill="1" applyBorder="1"/>
    <xf numFmtId="0" fontId="5" fillId="2" borderId="1" xfId="0" applyFont="1" applyFill="1" applyBorder="1" applyAlignment="1">
      <alignment horizontal="center" vertical="center" wrapText="1"/>
    </xf>
    <xf numFmtId="14" fontId="9" fillId="2" borderId="1" xfId="0" applyNumberFormat="1" applyFont="1" applyFill="1" applyBorder="1"/>
    <xf numFmtId="0" fontId="9" fillId="2" borderId="1" xfId="0" applyFont="1" applyFill="1" applyBorder="1" applyAlignment="1">
      <alignment vertical="top" wrapText="1"/>
    </xf>
    <xf numFmtId="0" fontId="9" fillId="2" borderId="0" xfId="0" applyFont="1" applyFill="1"/>
    <xf numFmtId="165" fontId="3" fillId="0" borderId="1" xfId="2" applyFont="1" applyFill="1" applyBorder="1"/>
    <xf numFmtId="0" fontId="12" fillId="3" borderId="1" xfId="0" applyFont="1" applyFill="1" applyBorder="1" applyAlignment="1">
      <alignment horizontal="left" vertical="center" wrapText="1"/>
    </xf>
    <xf numFmtId="0" fontId="13" fillId="3" borderId="1" xfId="0" applyFont="1" applyFill="1" applyBorder="1" applyAlignment="1">
      <alignment vertical="top" wrapText="1"/>
    </xf>
    <xf numFmtId="0" fontId="7" fillId="3" borderId="1" xfId="0" applyFont="1" applyFill="1" applyBorder="1" applyAlignment="1">
      <alignment horizontal="left" vertical="center" wrapText="1"/>
    </xf>
    <xf numFmtId="165" fontId="9" fillId="0" borderId="4" xfId="0" applyNumberFormat="1" applyFont="1" applyBorder="1"/>
    <xf numFmtId="0" fontId="8" fillId="0" borderId="4" xfId="0" applyFont="1" applyBorder="1" applyAlignment="1">
      <alignment horizontal="center" vertical="center" wrapText="1"/>
    </xf>
    <xf numFmtId="14" fontId="3" fillId="0" borderId="4" xfId="0" applyNumberFormat="1" applyFont="1" applyBorder="1"/>
    <xf numFmtId="0" fontId="3" fillId="0" borderId="4" xfId="0" applyFont="1" applyBorder="1" applyAlignment="1">
      <alignment vertical="top" wrapText="1"/>
    </xf>
    <xf numFmtId="0" fontId="3" fillId="0" borderId="4" xfId="0" applyFont="1" applyBorder="1"/>
    <xf numFmtId="14" fontId="3" fillId="0" borderId="1" xfId="0" applyNumberFormat="1" applyFont="1" applyBorder="1" applyAlignment="1">
      <alignment vertical="top" wrapText="1"/>
    </xf>
    <xf numFmtId="165" fontId="9" fillId="0" borderId="0" xfId="0" applyNumberFormat="1" applyFont="1"/>
    <xf numFmtId="14" fontId="9" fillId="0" borderId="1" xfId="0" applyNumberFormat="1" applyFont="1" applyBorder="1"/>
    <xf numFmtId="0" fontId="9" fillId="0" borderId="1" xfId="0" applyFont="1" applyBorder="1" applyAlignment="1">
      <alignment vertical="top" wrapText="1"/>
    </xf>
    <xf numFmtId="0" fontId="9" fillId="0" borderId="0" xfId="0" applyFont="1"/>
    <xf numFmtId="165" fontId="9" fillId="2" borderId="4" xfId="0" applyNumberFormat="1" applyFont="1" applyFill="1" applyBorder="1"/>
    <xf numFmtId="165" fontId="9" fillId="0" borderId="2" xfId="0" applyNumberFormat="1" applyFont="1" applyBorder="1"/>
    <xf numFmtId="164" fontId="3" fillId="0" borderId="0" xfId="0" applyNumberFormat="1" applyFont="1"/>
    <xf numFmtId="0" fontId="9" fillId="0" borderId="1" xfId="0" applyFont="1" applyBorder="1" applyAlignment="1">
      <alignment horizontal="right" vertical="top" wrapText="1"/>
    </xf>
    <xf numFmtId="0" fontId="9" fillId="3" borderId="1" xfId="0" applyFont="1" applyFill="1" applyBorder="1" applyAlignment="1">
      <alignment vertical="top" wrapText="1"/>
    </xf>
    <xf numFmtId="0" fontId="7" fillId="4" borderId="1" xfId="0" applyFont="1" applyFill="1" applyBorder="1" applyAlignment="1">
      <alignment horizontal="left" vertical="center" wrapText="1"/>
    </xf>
    <xf numFmtId="14" fontId="3" fillId="0" borderId="0" xfId="0" applyNumberFormat="1" applyFont="1"/>
    <xf numFmtId="0" fontId="3" fillId="0" borderId="0" xfId="0" applyFont="1" applyAlignment="1">
      <alignment vertical="top" wrapText="1"/>
    </xf>
    <xf numFmtId="0" fontId="14" fillId="0" borderId="1" xfId="0" applyFont="1" applyBorder="1" applyAlignment="1">
      <alignment horizontal="left" vertical="center" wrapText="1"/>
    </xf>
    <xf numFmtId="0" fontId="9" fillId="2" borderId="4" xfId="0" applyFont="1" applyFill="1" applyBorder="1"/>
    <xf numFmtId="0" fontId="9" fillId="0" borderId="4" xfId="0" applyFont="1" applyBorder="1" applyAlignment="1">
      <alignment horizontal="right"/>
    </xf>
    <xf numFmtId="165" fontId="3" fillId="0" borderId="1" xfId="0" applyNumberFormat="1" applyFont="1" applyBorder="1" applyAlignment="1">
      <alignment vertical="top"/>
    </xf>
    <xf numFmtId="43" fontId="3" fillId="0" borderId="0" xfId="0" applyNumberFormat="1" applyFont="1"/>
    <xf numFmtId="0" fontId="3" fillId="0" borderId="1" xfId="0" applyFont="1" applyBorder="1" applyAlignment="1">
      <alignment horizontal="right" vertical="top" wrapText="1"/>
    </xf>
    <xf numFmtId="49" fontId="14" fillId="0" borderId="1" xfId="0" applyNumberFormat="1" applyFont="1" applyBorder="1" applyAlignment="1">
      <alignment horizontal="left" vertical="center" wrapText="1"/>
    </xf>
    <xf numFmtId="43" fontId="3" fillId="0" borderId="1" xfId="0" applyNumberFormat="1" applyFont="1" applyBorder="1"/>
    <xf numFmtId="0" fontId="9" fillId="0" borderId="2" xfId="0" applyFont="1" applyBorder="1" applyAlignment="1">
      <alignment vertical="top" wrapText="1"/>
    </xf>
    <xf numFmtId="14" fontId="9" fillId="2" borderId="1" xfId="0" applyNumberFormat="1" applyFont="1" applyFill="1" applyBorder="1" applyAlignment="1">
      <alignment vertical="top" wrapText="1"/>
    </xf>
    <xf numFmtId="165" fontId="9" fillId="2" borderId="1" xfId="0" applyNumberFormat="1" applyFont="1" applyFill="1" applyBorder="1" applyAlignment="1">
      <alignment vertical="top"/>
    </xf>
    <xf numFmtId="43" fontId="9" fillId="2" borderId="1" xfId="0" applyNumberFormat="1" applyFont="1" applyFill="1" applyBorder="1"/>
    <xf numFmtId="0" fontId="8" fillId="2" borderId="2" xfId="0" applyFont="1" applyFill="1" applyBorder="1" applyAlignment="1">
      <alignment horizontal="center" vertical="center" wrapText="1"/>
    </xf>
    <xf numFmtId="14" fontId="3" fillId="2" borderId="2" xfId="0" applyNumberFormat="1" applyFont="1" applyFill="1" applyBorder="1"/>
    <xf numFmtId="0" fontId="3" fillId="2" borderId="2" xfId="0" applyFont="1" applyFill="1" applyBorder="1" applyAlignment="1">
      <alignment vertical="top" wrapText="1"/>
    </xf>
    <xf numFmtId="0" fontId="9" fillId="2" borderId="2" xfId="0" applyFont="1" applyFill="1" applyBorder="1" applyAlignment="1">
      <alignment vertical="top" wrapText="1"/>
    </xf>
    <xf numFmtId="165" fontId="9" fillId="2" borderId="2" xfId="0" applyNumberFormat="1" applyFont="1" applyFill="1" applyBorder="1"/>
    <xf numFmtId="43" fontId="3" fillId="0" borderId="2" xfId="0" applyNumberFormat="1" applyFont="1" applyBorder="1"/>
    <xf numFmtId="0" fontId="8" fillId="0" borderId="6" xfId="0" applyFont="1" applyBorder="1" applyAlignment="1">
      <alignment horizontal="center" vertical="center" wrapText="1"/>
    </xf>
    <xf numFmtId="14" fontId="3" fillId="0" borderId="6" xfId="0" applyNumberFormat="1" applyFont="1" applyBorder="1"/>
    <xf numFmtId="0" fontId="3" fillId="0" borderId="6" xfId="0" applyFont="1" applyBorder="1" applyAlignment="1">
      <alignment vertical="top" wrapText="1"/>
    </xf>
    <xf numFmtId="0" fontId="3" fillId="0" borderId="6" xfId="0" applyFont="1" applyBorder="1"/>
    <xf numFmtId="0" fontId="9" fillId="0" borderId="6" xfId="0" applyFont="1" applyBorder="1"/>
    <xf numFmtId="165" fontId="9" fillId="0" borderId="6" xfId="0" applyNumberFormat="1" applyFont="1" applyBorder="1"/>
    <xf numFmtId="43" fontId="3" fillId="0" borderId="5" xfId="0" applyNumberFormat="1" applyFont="1" applyBorder="1"/>
    <xf numFmtId="0" fontId="5" fillId="2" borderId="4" xfId="0" applyFont="1" applyFill="1" applyBorder="1" applyAlignment="1">
      <alignment horizontal="center" vertical="center" wrapText="1"/>
    </xf>
    <xf numFmtId="14" fontId="9" fillId="2" borderId="4" xfId="0" applyNumberFormat="1" applyFont="1" applyFill="1" applyBorder="1"/>
    <xf numFmtId="0" fontId="9" fillId="2" borderId="4" xfId="0" applyFont="1" applyFill="1" applyBorder="1" applyAlignment="1">
      <alignment vertical="top" wrapText="1"/>
    </xf>
    <xf numFmtId="43" fontId="9" fillId="2" borderId="4" xfId="0" applyNumberFormat="1" applyFont="1" applyFill="1" applyBorder="1"/>
    <xf numFmtId="0" fontId="9" fillId="2" borderId="3" xfId="0" applyFont="1" applyFill="1" applyBorder="1"/>
    <xf numFmtId="0" fontId="8" fillId="0" borderId="2" xfId="0" applyFont="1" applyBorder="1" applyAlignment="1">
      <alignment horizontal="center" vertical="center" wrapText="1"/>
    </xf>
    <xf numFmtId="14" fontId="3" fillId="0" borderId="2" xfId="0" applyNumberFormat="1" applyFont="1" applyBorder="1"/>
    <xf numFmtId="0" fontId="3" fillId="0" borderId="2" xfId="0" applyFont="1" applyBorder="1" applyAlignment="1">
      <alignment vertical="top" wrapText="1"/>
    </xf>
  </cellXfs>
  <cellStyles count="3">
    <cellStyle name="Comma" xfId="1" builtinId="3"/>
    <cellStyle name="Comma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376"/>
  <sheetViews>
    <sheetView tabSelected="1" topLeftCell="A286" zoomScaleNormal="100" workbookViewId="0">
      <selection activeCell="I8" sqref="I8"/>
    </sheetView>
  </sheetViews>
  <sheetFormatPr defaultRowHeight="14.25" x14ac:dyDescent="0.2"/>
  <cols>
    <col min="1" max="1" width="5.140625" style="15" customWidth="1"/>
    <col min="2" max="4" width="12.7109375" style="15" customWidth="1"/>
    <col min="5" max="5" width="27.7109375" style="15" customWidth="1"/>
    <col min="6" max="6" width="22.28515625" style="15" customWidth="1"/>
    <col min="7" max="7" width="18.85546875" style="15" customWidth="1"/>
    <col min="8" max="8" width="17.5703125" style="16" customWidth="1"/>
    <col min="9" max="9" width="18.85546875" style="16" customWidth="1"/>
    <col min="10" max="11" width="17.7109375" style="15" hidden="1" customWidth="1"/>
    <col min="12" max="12" width="15.85546875" style="15" bestFit="1" customWidth="1"/>
    <col min="13" max="13" width="17.85546875" style="15" bestFit="1" customWidth="1"/>
    <col min="14" max="16384" width="9.140625" style="15"/>
  </cols>
  <sheetData>
    <row r="1" spans="1:11" s="6" customFormat="1" ht="54" x14ac:dyDescent="0.2">
      <c r="A1" s="2" t="s">
        <v>0</v>
      </c>
      <c r="B1" s="3" t="s">
        <v>1</v>
      </c>
      <c r="C1" s="3" t="s">
        <v>2</v>
      </c>
      <c r="D1" s="3" t="s">
        <v>673</v>
      </c>
      <c r="E1" s="2" t="s">
        <v>548</v>
      </c>
      <c r="F1" s="3" t="s">
        <v>3</v>
      </c>
      <c r="G1" s="4" t="s">
        <v>4</v>
      </c>
      <c r="H1" s="4" t="s">
        <v>5</v>
      </c>
      <c r="I1" s="4" t="s">
        <v>6</v>
      </c>
      <c r="J1" s="5" t="s">
        <v>1922</v>
      </c>
      <c r="K1" s="5" t="s">
        <v>1923</v>
      </c>
    </row>
    <row r="2" spans="1:11" s="6" customFormat="1" ht="18" x14ac:dyDescent="0.2">
      <c r="A2" s="2"/>
      <c r="B2" s="3"/>
      <c r="C2" s="3"/>
      <c r="D2" s="9"/>
      <c r="E2" s="30" t="s">
        <v>30</v>
      </c>
      <c r="F2" s="3"/>
      <c r="G2" s="3"/>
      <c r="H2" s="4"/>
      <c r="I2" s="4"/>
      <c r="J2" s="22"/>
      <c r="K2" s="22"/>
    </row>
    <row r="3" spans="1:11" s="1" customFormat="1" ht="45" x14ac:dyDescent="0.2">
      <c r="A3" s="7">
        <v>1</v>
      </c>
      <c r="B3" s="38">
        <v>44577</v>
      </c>
      <c r="C3" s="9">
        <v>110</v>
      </c>
      <c r="D3" s="9" t="s">
        <v>30</v>
      </c>
      <c r="E3" s="9" t="s">
        <v>34</v>
      </c>
      <c r="F3" s="9" t="s">
        <v>36</v>
      </c>
      <c r="G3" s="54">
        <v>167000</v>
      </c>
      <c r="H3" s="54">
        <v>0</v>
      </c>
      <c r="I3" s="54">
        <f t="shared" ref="I3:I35" si="0">+G3+H3</f>
        <v>167000</v>
      </c>
      <c r="J3" s="58" t="e">
        <f>+#REF!+#REF!+#REF!+#REF!</f>
        <v>#REF!</v>
      </c>
      <c r="K3" s="8">
        <v>44582</v>
      </c>
    </row>
    <row r="4" spans="1:11" s="1" customFormat="1" ht="46.5" customHeight="1" x14ac:dyDescent="0.2">
      <c r="A4" s="7">
        <v>2</v>
      </c>
      <c r="B4" s="38">
        <v>44575</v>
      </c>
      <c r="C4" s="9" t="s">
        <v>33</v>
      </c>
      <c r="D4" s="9" t="s">
        <v>30</v>
      </c>
      <c r="E4" s="9" t="s">
        <v>34</v>
      </c>
      <c r="F4" s="9" t="s">
        <v>35</v>
      </c>
      <c r="G4" s="54">
        <v>95000</v>
      </c>
      <c r="H4" s="54">
        <v>0</v>
      </c>
      <c r="I4" s="54">
        <f t="shared" si="0"/>
        <v>95000</v>
      </c>
      <c r="J4" s="58" t="e">
        <f>+#REF!+#REF!+#REF!+#REF!</f>
        <v>#REF!</v>
      </c>
      <c r="K4" s="8">
        <v>44585</v>
      </c>
    </row>
    <row r="5" spans="1:11" s="1" customFormat="1" ht="45" x14ac:dyDescent="0.2">
      <c r="A5" s="7">
        <v>3</v>
      </c>
      <c r="B5" s="38">
        <v>44577</v>
      </c>
      <c r="C5" s="9" t="s">
        <v>8</v>
      </c>
      <c r="D5" s="9" t="s">
        <v>30</v>
      </c>
      <c r="E5" s="9" t="s">
        <v>9</v>
      </c>
      <c r="F5" s="9" t="s">
        <v>464</v>
      </c>
      <c r="G5" s="54">
        <v>3600000</v>
      </c>
      <c r="H5" s="54">
        <v>648000</v>
      </c>
      <c r="I5" s="54">
        <f>+G5+H5</f>
        <v>4248000</v>
      </c>
      <c r="J5" s="58" t="e">
        <f>+#REF!+#REF!+#REF!+#REF!</f>
        <v>#REF!</v>
      </c>
      <c r="K5" s="8" t="s">
        <v>1959</v>
      </c>
    </row>
    <row r="6" spans="1:11" s="1" customFormat="1" ht="30" x14ac:dyDescent="0.2">
      <c r="A6" s="7">
        <v>4</v>
      </c>
      <c r="B6" s="38">
        <v>44579</v>
      </c>
      <c r="C6" s="9" t="s">
        <v>10</v>
      </c>
      <c r="D6" s="9" t="s">
        <v>30</v>
      </c>
      <c r="E6" s="9" t="s">
        <v>11</v>
      </c>
      <c r="F6" s="9" t="s">
        <v>464</v>
      </c>
      <c r="G6" s="54">
        <v>5800000</v>
      </c>
      <c r="H6" s="54">
        <v>1044000</v>
      </c>
      <c r="I6" s="54">
        <f>+G6+H6</f>
        <v>6844000</v>
      </c>
      <c r="J6" s="58" t="e">
        <f>+#REF!+#REF!+#REF!+#REF!</f>
        <v>#REF!</v>
      </c>
      <c r="K6" s="8" t="s">
        <v>1960</v>
      </c>
    </row>
    <row r="7" spans="1:11" s="1" customFormat="1" ht="30" x14ac:dyDescent="0.2">
      <c r="A7" s="7">
        <v>5</v>
      </c>
      <c r="B7" s="38">
        <v>44762</v>
      </c>
      <c r="C7" s="9" t="s">
        <v>14</v>
      </c>
      <c r="D7" s="9" t="s">
        <v>30</v>
      </c>
      <c r="E7" s="9" t="s">
        <v>15</v>
      </c>
      <c r="F7" s="9" t="s">
        <v>464</v>
      </c>
      <c r="G7" s="54">
        <v>7700000</v>
      </c>
      <c r="H7" s="54">
        <v>1386000</v>
      </c>
      <c r="I7" s="54">
        <f>+G7+H7</f>
        <v>9086000</v>
      </c>
      <c r="J7" s="58" t="e">
        <f>+#REF!+#REF!+#REF!+#REF!</f>
        <v>#REF!</v>
      </c>
      <c r="K7" s="8" t="s">
        <v>1962</v>
      </c>
    </row>
    <row r="8" spans="1:11" s="21" customFormat="1" ht="15.75" x14ac:dyDescent="0.25">
      <c r="A8" s="18"/>
      <c r="B8" s="19"/>
      <c r="C8" s="20"/>
      <c r="D8" s="20"/>
      <c r="E8" s="20"/>
      <c r="F8" s="27" t="s">
        <v>593</v>
      </c>
      <c r="G8" s="24">
        <f t="shared" ref="G8:I8" si="1">SUM(G3:G7)</f>
        <v>17362000</v>
      </c>
      <c r="H8" s="24">
        <f t="shared" si="1"/>
        <v>3078000</v>
      </c>
      <c r="I8" s="24">
        <f t="shared" si="1"/>
        <v>20440000</v>
      </c>
      <c r="J8" s="58"/>
      <c r="K8" s="58"/>
    </row>
    <row r="9" spans="1:11" s="1" customFormat="1" ht="15.75" x14ac:dyDescent="0.25">
      <c r="A9" s="7"/>
      <c r="B9" s="8"/>
      <c r="C9" s="9"/>
      <c r="D9" s="9"/>
      <c r="E9" s="30" t="s">
        <v>1826</v>
      </c>
      <c r="F9" s="41"/>
      <c r="G9" s="14"/>
      <c r="H9" s="14"/>
      <c r="I9" s="14"/>
      <c r="J9" s="58" t="e">
        <f>+#REF!+#REF!+#REF!+#REF!</f>
        <v>#REF!</v>
      </c>
      <c r="K9" s="58"/>
    </row>
    <row r="10" spans="1:11" s="1" customFormat="1" ht="45" x14ac:dyDescent="0.2">
      <c r="A10" s="7">
        <v>1</v>
      </c>
      <c r="B10" s="38">
        <v>44770</v>
      </c>
      <c r="C10" s="9" t="s">
        <v>154</v>
      </c>
      <c r="D10" s="9" t="s">
        <v>1825</v>
      </c>
      <c r="E10" s="9" t="s">
        <v>155</v>
      </c>
      <c r="F10" s="9" t="s">
        <v>156</v>
      </c>
      <c r="G10" s="54">
        <v>211000</v>
      </c>
      <c r="H10" s="54">
        <f>18990*2</f>
        <v>37980</v>
      </c>
      <c r="I10" s="54">
        <f t="shared" si="0"/>
        <v>248980</v>
      </c>
      <c r="J10" s="58" t="e">
        <f>+#REF!+#REF!+#REF!+#REF!</f>
        <v>#REF!</v>
      </c>
      <c r="K10" s="58" t="s">
        <v>2011</v>
      </c>
    </row>
    <row r="11" spans="1:11" s="1" customFormat="1" ht="60" x14ac:dyDescent="0.2">
      <c r="A11" s="7">
        <v>2</v>
      </c>
      <c r="B11" s="38">
        <v>44763</v>
      </c>
      <c r="C11" s="9" t="s">
        <v>167</v>
      </c>
      <c r="D11" s="9" t="s">
        <v>1825</v>
      </c>
      <c r="E11" s="9" t="s">
        <v>168</v>
      </c>
      <c r="F11" s="9" t="s">
        <v>36</v>
      </c>
      <c r="G11" s="54">
        <v>90000</v>
      </c>
      <c r="H11" s="54">
        <v>0</v>
      </c>
      <c r="I11" s="54">
        <f t="shared" si="0"/>
        <v>90000</v>
      </c>
      <c r="J11" s="58" t="e">
        <f>+#REF!+#REF!+#REF!+#REF!</f>
        <v>#REF!</v>
      </c>
      <c r="K11" s="8">
        <v>44771</v>
      </c>
    </row>
    <row r="12" spans="1:11" s="1" customFormat="1" ht="45" x14ac:dyDescent="0.2">
      <c r="A12" s="7">
        <v>3</v>
      </c>
      <c r="B12" s="38">
        <v>44834</v>
      </c>
      <c r="C12" s="9">
        <v>168</v>
      </c>
      <c r="D12" s="9" t="s">
        <v>1825</v>
      </c>
      <c r="E12" s="9" t="s">
        <v>169</v>
      </c>
      <c r="F12" s="9" t="s">
        <v>36</v>
      </c>
      <c r="G12" s="54">
        <v>71500</v>
      </c>
      <c r="H12" s="54">
        <v>0</v>
      </c>
      <c r="I12" s="54">
        <f t="shared" si="0"/>
        <v>71500</v>
      </c>
      <c r="J12" s="58" t="e">
        <f>+#REF!+#REF!+#REF!+#REF!</f>
        <v>#REF!</v>
      </c>
      <c r="K12" s="8">
        <v>44837</v>
      </c>
    </row>
    <row r="13" spans="1:11" s="1" customFormat="1" ht="45" x14ac:dyDescent="0.2">
      <c r="A13" s="7">
        <v>4</v>
      </c>
      <c r="B13" s="38">
        <v>44828</v>
      </c>
      <c r="C13" s="9" t="s">
        <v>170</v>
      </c>
      <c r="D13" s="9" t="s">
        <v>1825</v>
      </c>
      <c r="E13" s="9" t="s">
        <v>171</v>
      </c>
      <c r="F13" s="9" t="s">
        <v>172</v>
      </c>
      <c r="G13" s="54">
        <v>3920</v>
      </c>
      <c r="H13" s="54">
        <v>0</v>
      </c>
      <c r="I13" s="54">
        <f t="shared" si="0"/>
        <v>3920</v>
      </c>
      <c r="J13" s="58" t="e">
        <f>+#REF!+#REF!+#REF!+#REF!</f>
        <v>#REF!</v>
      </c>
      <c r="K13" s="8">
        <v>44828</v>
      </c>
    </row>
    <row r="14" spans="1:11" s="1" customFormat="1" ht="45" x14ac:dyDescent="0.2">
      <c r="A14" s="7">
        <v>5</v>
      </c>
      <c r="B14" s="38">
        <v>44825</v>
      </c>
      <c r="C14" s="9" t="s">
        <v>178</v>
      </c>
      <c r="D14" s="9" t="s">
        <v>1825</v>
      </c>
      <c r="E14" s="9" t="s">
        <v>179</v>
      </c>
      <c r="F14" s="9" t="s">
        <v>180</v>
      </c>
      <c r="G14" s="54">
        <v>26500</v>
      </c>
      <c r="H14" s="54">
        <v>0</v>
      </c>
      <c r="I14" s="54">
        <f t="shared" si="0"/>
        <v>26500</v>
      </c>
      <c r="J14" s="58" t="e">
        <f>+#REF!+#REF!+#REF!+#REF!</f>
        <v>#REF!</v>
      </c>
      <c r="K14" s="8">
        <v>44851</v>
      </c>
    </row>
    <row r="15" spans="1:11" s="1" customFormat="1" ht="30" x14ac:dyDescent="0.2">
      <c r="A15" s="7">
        <v>6</v>
      </c>
      <c r="B15" s="38">
        <v>44750</v>
      </c>
      <c r="C15" s="9" t="s">
        <v>12</v>
      </c>
      <c r="D15" s="9" t="s">
        <v>1825</v>
      </c>
      <c r="E15" s="9" t="s">
        <v>13</v>
      </c>
      <c r="F15" s="9" t="s">
        <v>464</v>
      </c>
      <c r="G15" s="54">
        <v>2800000</v>
      </c>
      <c r="H15" s="54">
        <v>504000</v>
      </c>
      <c r="I15" s="54">
        <f t="shared" si="0"/>
        <v>3304000</v>
      </c>
      <c r="J15" s="58" t="e">
        <f>+#REF!+#REF!+#REF!+#REF!</f>
        <v>#REF!</v>
      </c>
      <c r="K15" s="8">
        <v>44740</v>
      </c>
    </row>
    <row r="16" spans="1:11" s="1" customFormat="1" ht="30" x14ac:dyDescent="0.2">
      <c r="A16" s="7">
        <v>7</v>
      </c>
      <c r="B16" s="38">
        <v>44818</v>
      </c>
      <c r="C16" s="9" t="s">
        <v>16</v>
      </c>
      <c r="D16" s="9" t="s">
        <v>1825</v>
      </c>
      <c r="E16" s="9" t="s">
        <v>17</v>
      </c>
      <c r="F16" s="9" t="s">
        <v>464</v>
      </c>
      <c r="G16" s="54">
        <v>1700000</v>
      </c>
      <c r="H16" s="54">
        <v>306000</v>
      </c>
      <c r="I16" s="54">
        <f t="shared" si="0"/>
        <v>2006000</v>
      </c>
      <c r="J16" s="58" t="e">
        <f>+#REF!+#REF!+#REF!+#REF!</f>
        <v>#REF!</v>
      </c>
      <c r="K16" s="8" t="s">
        <v>1961</v>
      </c>
    </row>
    <row r="17" spans="1:11" s="1" customFormat="1" ht="30" x14ac:dyDescent="0.2">
      <c r="A17" s="7">
        <v>8</v>
      </c>
      <c r="B17" s="38">
        <v>44826</v>
      </c>
      <c r="C17" s="9" t="s">
        <v>18</v>
      </c>
      <c r="D17" s="9" t="s">
        <v>1825</v>
      </c>
      <c r="E17" s="9" t="s">
        <v>19</v>
      </c>
      <c r="F17" s="9" t="s">
        <v>464</v>
      </c>
      <c r="G17" s="54">
        <v>700000</v>
      </c>
      <c r="H17" s="54">
        <v>126000</v>
      </c>
      <c r="I17" s="54">
        <f t="shared" si="0"/>
        <v>826000</v>
      </c>
      <c r="J17" s="58" t="e">
        <f>+#REF!+#REF!+#REF!+#REF!</f>
        <v>#REF!</v>
      </c>
      <c r="K17" s="8">
        <v>44740</v>
      </c>
    </row>
    <row r="18" spans="1:11" s="1" customFormat="1" ht="30" x14ac:dyDescent="0.2">
      <c r="A18" s="7">
        <v>9</v>
      </c>
      <c r="B18" s="38">
        <v>44834</v>
      </c>
      <c r="C18" s="9" t="s">
        <v>20</v>
      </c>
      <c r="D18" s="9" t="s">
        <v>1825</v>
      </c>
      <c r="E18" s="9" t="s">
        <v>21</v>
      </c>
      <c r="F18" s="9" t="s">
        <v>464</v>
      </c>
      <c r="G18" s="54">
        <v>1350000</v>
      </c>
      <c r="H18" s="54">
        <v>243000</v>
      </c>
      <c r="I18" s="54">
        <f t="shared" si="0"/>
        <v>1593000</v>
      </c>
      <c r="J18" s="58" t="e">
        <f>+#REF!+#REF!+#REF!+#REF!</f>
        <v>#REF!</v>
      </c>
      <c r="K18" s="8">
        <v>44825</v>
      </c>
    </row>
    <row r="19" spans="1:11" s="1" customFormat="1" ht="30" x14ac:dyDescent="0.2">
      <c r="A19" s="7">
        <v>10</v>
      </c>
      <c r="B19" s="38">
        <v>44685</v>
      </c>
      <c r="C19" s="9" t="s">
        <v>22</v>
      </c>
      <c r="D19" s="9" t="s">
        <v>1825</v>
      </c>
      <c r="E19" s="9" t="s">
        <v>23</v>
      </c>
      <c r="F19" s="9" t="s">
        <v>464</v>
      </c>
      <c r="G19" s="54">
        <v>500000</v>
      </c>
      <c r="H19" s="54">
        <v>90000</v>
      </c>
      <c r="I19" s="54">
        <f t="shared" si="0"/>
        <v>590000</v>
      </c>
      <c r="J19" s="58" t="e">
        <f>+#REF!+#REF!+#REF!+#REF!</f>
        <v>#REF!</v>
      </c>
      <c r="K19" s="8" t="s">
        <v>1963</v>
      </c>
    </row>
    <row r="20" spans="1:11" s="1" customFormat="1" ht="45" x14ac:dyDescent="0.2">
      <c r="A20" s="7">
        <v>11</v>
      </c>
      <c r="B20" s="38">
        <v>44686</v>
      </c>
      <c r="C20" s="9"/>
      <c r="D20" s="9" t="s">
        <v>1825</v>
      </c>
      <c r="E20" s="9" t="s">
        <v>908</v>
      </c>
      <c r="F20" s="9" t="s">
        <v>909</v>
      </c>
      <c r="G20" s="54">
        <v>6850</v>
      </c>
      <c r="H20" s="54">
        <v>0</v>
      </c>
      <c r="I20" s="54">
        <f t="shared" si="0"/>
        <v>6850</v>
      </c>
      <c r="J20" s="58" t="e">
        <f>+#REF!+#REF!+#REF!+#REF!</f>
        <v>#REF!</v>
      </c>
      <c r="K20" s="8">
        <v>44685</v>
      </c>
    </row>
    <row r="21" spans="1:11" s="1" customFormat="1" ht="30" x14ac:dyDescent="0.2">
      <c r="A21" s="7">
        <v>12</v>
      </c>
      <c r="B21" s="38">
        <v>44750</v>
      </c>
      <c r="C21" s="9" t="s">
        <v>24</v>
      </c>
      <c r="D21" s="9" t="s">
        <v>1825</v>
      </c>
      <c r="E21" s="9" t="s">
        <v>25</v>
      </c>
      <c r="F21" s="9" t="s">
        <v>464</v>
      </c>
      <c r="G21" s="54">
        <v>1800000</v>
      </c>
      <c r="H21" s="54">
        <v>324000</v>
      </c>
      <c r="I21" s="54">
        <f t="shared" si="0"/>
        <v>2124000</v>
      </c>
      <c r="J21" s="58" t="e">
        <f>+#REF!+#REF!+#REF!+#REF!</f>
        <v>#REF!</v>
      </c>
      <c r="K21" s="8">
        <v>44740</v>
      </c>
    </row>
    <row r="22" spans="1:11" s="1" customFormat="1" ht="45" x14ac:dyDescent="0.2">
      <c r="A22" s="7">
        <v>13</v>
      </c>
      <c r="B22" s="38">
        <v>44583</v>
      </c>
      <c r="C22" s="9" t="s">
        <v>37</v>
      </c>
      <c r="D22" s="9" t="s">
        <v>1825</v>
      </c>
      <c r="E22" s="9" t="s">
        <v>38</v>
      </c>
      <c r="F22" s="9" t="s">
        <v>39</v>
      </c>
      <c r="G22" s="54">
        <v>44782.5</v>
      </c>
      <c r="H22" s="54">
        <v>8060</v>
      </c>
      <c r="I22" s="54">
        <f t="shared" si="0"/>
        <v>52842.5</v>
      </c>
      <c r="J22" s="58" t="e">
        <f>+#REF!+#REF!+#REF!+#REF!+0.5</f>
        <v>#REF!</v>
      </c>
      <c r="K22" s="8">
        <v>44600</v>
      </c>
    </row>
    <row r="23" spans="1:11" s="1" customFormat="1" ht="30.75" customHeight="1" x14ac:dyDescent="0.2">
      <c r="A23" s="7">
        <v>14</v>
      </c>
      <c r="B23" s="38">
        <v>44590</v>
      </c>
      <c r="C23" s="9" t="s">
        <v>40</v>
      </c>
      <c r="D23" s="9" t="s">
        <v>1825</v>
      </c>
      <c r="E23" s="9" t="s">
        <v>41</v>
      </c>
      <c r="F23" s="9" t="s">
        <v>39</v>
      </c>
      <c r="G23" s="54">
        <v>113526</v>
      </c>
      <c r="H23" s="54">
        <v>20434</v>
      </c>
      <c r="I23" s="54">
        <f t="shared" si="0"/>
        <v>133960</v>
      </c>
      <c r="J23" s="58" t="e">
        <f>+#REF!+#REF!+#REF!+#REF!+1</f>
        <v>#REF!</v>
      </c>
      <c r="K23" s="8">
        <v>44600</v>
      </c>
    </row>
    <row r="24" spans="1:11" s="1" customFormat="1" ht="30" x14ac:dyDescent="0.2">
      <c r="A24" s="7">
        <v>15</v>
      </c>
      <c r="B24" s="38">
        <v>44868</v>
      </c>
      <c r="C24" s="9" t="s">
        <v>414</v>
      </c>
      <c r="D24" s="9" t="s">
        <v>1825</v>
      </c>
      <c r="E24" s="9" t="s">
        <v>416</v>
      </c>
      <c r="F24" s="9" t="s">
        <v>415</v>
      </c>
      <c r="G24" s="54">
        <v>68000</v>
      </c>
      <c r="H24" s="54">
        <f>6120*2</f>
        <v>12240</v>
      </c>
      <c r="I24" s="54">
        <f t="shared" si="0"/>
        <v>80240</v>
      </c>
      <c r="J24" s="58" t="e">
        <f>+#REF!+#REF!+#REF!+#REF!</f>
        <v>#REF!</v>
      </c>
      <c r="K24" s="8">
        <v>44895</v>
      </c>
    </row>
    <row r="25" spans="1:11" s="1" customFormat="1" ht="45" x14ac:dyDescent="0.2">
      <c r="A25" s="7">
        <v>16</v>
      </c>
      <c r="B25" s="38">
        <v>44881</v>
      </c>
      <c r="C25" s="9"/>
      <c r="D25" s="9" t="s">
        <v>1825</v>
      </c>
      <c r="E25" s="9" t="s">
        <v>438</v>
      </c>
      <c r="F25" s="9" t="s">
        <v>814</v>
      </c>
      <c r="G25" s="54">
        <v>10000</v>
      </c>
      <c r="H25" s="54">
        <v>0</v>
      </c>
      <c r="I25" s="54">
        <f t="shared" si="0"/>
        <v>10000</v>
      </c>
      <c r="J25" s="58" t="e">
        <f>+#REF!+#REF!+#REF!+#REF!</f>
        <v>#REF!</v>
      </c>
      <c r="K25" s="8">
        <v>44879</v>
      </c>
    </row>
    <row r="26" spans="1:11" s="1" customFormat="1" ht="45" x14ac:dyDescent="0.2">
      <c r="A26" s="7">
        <v>17</v>
      </c>
      <c r="B26" s="38">
        <v>44884</v>
      </c>
      <c r="C26" s="9" t="s">
        <v>476</v>
      </c>
      <c r="D26" s="9" t="s">
        <v>1825</v>
      </c>
      <c r="E26" s="9" t="s">
        <v>443</v>
      </c>
      <c r="F26" s="9" t="s">
        <v>442</v>
      </c>
      <c r="G26" s="54">
        <v>1800</v>
      </c>
      <c r="H26" s="54">
        <v>0</v>
      </c>
      <c r="I26" s="54">
        <f t="shared" si="0"/>
        <v>1800</v>
      </c>
      <c r="J26" s="58" t="e">
        <f>+#REF!+#REF!+#REF!+#REF!</f>
        <v>#REF!</v>
      </c>
      <c r="K26" s="38">
        <v>44884</v>
      </c>
    </row>
    <row r="27" spans="1:11" s="1" customFormat="1" ht="45" x14ac:dyDescent="0.2">
      <c r="A27" s="7">
        <v>18</v>
      </c>
      <c r="B27" s="38">
        <v>44884</v>
      </c>
      <c r="C27" s="9" t="s">
        <v>449</v>
      </c>
      <c r="D27" s="9" t="s">
        <v>1825</v>
      </c>
      <c r="E27" s="9" t="s">
        <v>450</v>
      </c>
      <c r="F27" s="9" t="s">
        <v>415</v>
      </c>
      <c r="G27" s="54">
        <v>17000</v>
      </c>
      <c r="H27" s="54">
        <f>1530*2</f>
        <v>3060</v>
      </c>
      <c r="I27" s="54">
        <f t="shared" si="0"/>
        <v>20060</v>
      </c>
      <c r="J27" s="58" t="e">
        <f>+#REF!+#REF!+#REF!+#REF!</f>
        <v>#REF!</v>
      </c>
      <c r="K27" s="8">
        <v>44895</v>
      </c>
    </row>
    <row r="28" spans="1:11" s="1" customFormat="1" ht="60" x14ac:dyDescent="0.2">
      <c r="A28" s="7">
        <v>19</v>
      </c>
      <c r="B28" s="38">
        <v>44888</v>
      </c>
      <c r="C28" s="9" t="s">
        <v>462</v>
      </c>
      <c r="D28" s="9" t="s">
        <v>1825</v>
      </c>
      <c r="E28" s="9" t="s">
        <v>463</v>
      </c>
      <c r="F28" s="9" t="s">
        <v>464</v>
      </c>
      <c r="G28" s="54">
        <v>1000000</v>
      </c>
      <c r="H28" s="54">
        <v>180000</v>
      </c>
      <c r="I28" s="54">
        <f t="shared" si="0"/>
        <v>1180000</v>
      </c>
      <c r="J28" s="58" t="e">
        <f>+#REF!+#REF!+#REF!+#REF!</f>
        <v>#REF!</v>
      </c>
      <c r="K28" s="8">
        <v>44879</v>
      </c>
    </row>
    <row r="29" spans="1:11" s="1" customFormat="1" ht="30" x14ac:dyDescent="0.2">
      <c r="A29" s="7">
        <v>20</v>
      </c>
      <c r="B29" s="38">
        <v>44892</v>
      </c>
      <c r="C29" s="9" t="s">
        <v>471</v>
      </c>
      <c r="D29" s="9" t="s">
        <v>1825</v>
      </c>
      <c r="E29" s="9" t="s">
        <v>472</v>
      </c>
      <c r="F29" s="9" t="s">
        <v>415</v>
      </c>
      <c r="G29" s="54">
        <v>25500</v>
      </c>
      <c r="H29" s="54">
        <f>2295*2</f>
        <v>4590</v>
      </c>
      <c r="I29" s="54">
        <f t="shared" si="0"/>
        <v>30090</v>
      </c>
      <c r="J29" s="58" t="e">
        <f>+#REF!+#REF!+#REF!+#REF!</f>
        <v>#REF!</v>
      </c>
      <c r="K29" s="8">
        <v>44895</v>
      </c>
    </row>
    <row r="30" spans="1:11" s="1" customFormat="1" ht="45" x14ac:dyDescent="0.2">
      <c r="A30" s="7">
        <v>21</v>
      </c>
      <c r="B30" s="38">
        <v>44892</v>
      </c>
      <c r="C30" s="9" t="s">
        <v>476</v>
      </c>
      <c r="D30" s="9" t="s">
        <v>1825</v>
      </c>
      <c r="E30" s="9" t="s">
        <v>477</v>
      </c>
      <c r="F30" s="9" t="s">
        <v>478</v>
      </c>
      <c r="G30" s="54">
        <v>1800</v>
      </c>
      <c r="H30" s="54">
        <v>0</v>
      </c>
      <c r="I30" s="54">
        <f t="shared" si="0"/>
        <v>1800</v>
      </c>
      <c r="J30" s="58" t="e">
        <f>+#REF!+#REF!+#REF!+#REF!</f>
        <v>#REF!</v>
      </c>
      <c r="K30" s="8">
        <v>44892</v>
      </c>
    </row>
    <row r="31" spans="1:11" s="1" customFormat="1" ht="30" x14ac:dyDescent="0.2">
      <c r="A31" s="7">
        <v>22</v>
      </c>
      <c r="B31" s="38">
        <v>44892</v>
      </c>
      <c r="C31" s="9" t="s">
        <v>476</v>
      </c>
      <c r="D31" s="9" t="s">
        <v>1825</v>
      </c>
      <c r="E31" s="9" t="s">
        <v>479</v>
      </c>
      <c r="F31" s="9" t="s">
        <v>478</v>
      </c>
      <c r="G31" s="54">
        <v>300</v>
      </c>
      <c r="H31" s="54">
        <v>0</v>
      </c>
      <c r="I31" s="54">
        <f t="shared" si="0"/>
        <v>300</v>
      </c>
      <c r="J31" s="58" t="e">
        <f>+#REF!+#REF!+#REF!+#REF!</f>
        <v>#REF!</v>
      </c>
      <c r="K31" s="8">
        <v>44892</v>
      </c>
    </row>
    <row r="32" spans="1:11" s="1" customFormat="1" ht="30" x14ac:dyDescent="0.2">
      <c r="A32" s="7">
        <v>23</v>
      </c>
      <c r="B32" s="38">
        <v>44761</v>
      </c>
      <c r="C32" s="9" t="s">
        <v>476</v>
      </c>
      <c r="D32" s="9" t="s">
        <v>1825</v>
      </c>
      <c r="E32" s="9" t="s">
        <v>310</v>
      </c>
      <c r="F32" s="9" t="s">
        <v>311</v>
      </c>
      <c r="G32" s="54">
        <v>7000</v>
      </c>
      <c r="H32" s="54">
        <v>0</v>
      </c>
      <c r="I32" s="54">
        <f t="shared" si="0"/>
        <v>7000</v>
      </c>
      <c r="J32" s="58" t="e">
        <f>+#REF!+#REF!+#REF!+#REF!</f>
        <v>#REF!</v>
      </c>
      <c r="K32" s="38">
        <v>44761</v>
      </c>
    </row>
    <row r="33" spans="1:13" s="1" customFormat="1" ht="60" x14ac:dyDescent="0.2">
      <c r="A33" s="7">
        <v>24</v>
      </c>
      <c r="B33" s="38">
        <v>44914</v>
      </c>
      <c r="C33" s="9" t="s">
        <v>7</v>
      </c>
      <c r="D33" s="9" t="s">
        <v>1825</v>
      </c>
      <c r="E33" s="9" t="s">
        <v>613</v>
      </c>
      <c r="F33" s="9" t="s">
        <v>464</v>
      </c>
      <c r="G33" s="54">
        <v>0</v>
      </c>
      <c r="H33" s="54">
        <v>0</v>
      </c>
      <c r="I33" s="54">
        <f t="shared" si="0"/>
        <v>0</v>
      </c>
      <c r="J33" s="58" t="e">
        <f>+#REF!+#REF!+#REF!+#REF!</f>
        <v>#REF!</v>
      </c>
      <c r="K33" s="58"/>
    </row>
    <row r="34" spans="1:13" s="1" customFormat="1" ht="30" x14ac:dyDescent="0.2">
      <c r="A34" s="7">
        <v>25</v>
      </c>
      <c r="B34" s="38">
        <v>44563</v>
      </c>
      <c r="C34" s="9" t="s">
        <v>26</v>
      </c>
      <c r="D34" s="9" t="s">
        <v>1825</v>
      </c>
      <c r="E34" s="9" t="s">
        <v>27</v>
      </c>
      <c r="F34" s="9" t="s">
        <v>46</v>
      </c>
      <c r="G34" s="54">
        <v>4237288</v>
      </c>
      <c r="H34" s="54">
        <f>381356*2</f>
        <v>762712</v>
      </c>
      <c r="I34" s="54">
        <f t="shared" si="0"/>
        <v>5000000</v>
      </c>
      <c r="J34" s="58" t="e">
        <f>+#REF!+#REF!+#REF!+#REF!</f>
        <v>#REF!</v>
      </c>
      <c r="K34" s="58" t="s">
        <v>1929</v>
      </c>
      <c r="L34" s="55"/>
      <c r="M34" s="55"/>
    </row>
    <row r="35" spans="1:13" s="1" customFormat="1" ht="30" x14ac:dyDescent="0.2">
      <c r="A35" s="7">
        <v>26</v>
      </c>
      <c r="B35" s="38">
        <v>44593</v>
      </c>
      <c r="C35" s="9" t="s">
        <v>28</v>
      </c>
      <c r="D35" s="9" t="s">
        <v>1825</v>
      </c>
      <c r="E35" s="9" t="s">
        <v>29</v>
      </c>
      <c r="F35" s="9" t="s">
        <v>46</v>
      </c>
      <c r="G35" s="54">
        <v>1714915</v>
      </c>
      <c r="H35" s="54">
        <f>154342*2</f>
        <v>308684</v>
      </c>
      <c r="I35" s="54">
        <f t="shared" si="0"/>
        <v>2023599</v>
      </c>
      <c r="J35" s="58" t="e">
        <f>+#REF!+#REF!+#REF!+#REF!</f>
        <v>#REF!</v>
      </c>
      <c r="K35" s="8">
        <v>44592</v>
      </c>
      <c r="L35" s="55"/>
      <c r="M35" s="55"/>
    </row>
    <row r="36" spans="1:13" s="1" customFormat="1" ht="45" x14ac:dyDescent="0.2">
      <c r="A36" s="7">
        <v>27</v>
      </c>
      <c r="B36" s="38">
        <v>44875</v>
      </c>
      <c r="C36" s="9" t="s">
        <v>421</v>
      </c>
      <c r="D36" s="9" t="s">
        <v>1825</v>
      </c>
      <c r="E36" s="9" t="s">
        <v>422</v>
      </c>
      <c r="F36" s="9" t="s">
        <v>46</v>
      </c>
      <c r="G36" s="54">
        <v>4384553</v>
      </c>
      <c r="H36" s="54">
        <f>394610*2</f>
        <v>789220</v>
      </c>
      <c r="I36" s="54">
        <f t="shared" ref="I36:I61" si="2">+G36+H36</f>
        <v>5173773</v>
      </c>
      <c r="J36" s="58" t="e">
        <f>+#REF!+#REF!+#REF!+#REF!</f>
        <v>#REF!</v>
      </c>
      <c r="K36" s="8" t="s">
        <v>1930</v>
      </c>
      <c r="L36" s="17"/>
      <c r="M36" s="17"/>
    </row>
    <row r="37" spans="1:13" s="1" customFormat="1" ht="45" x14ac:dyDescent="0.2">
      <c r="A37" s="7">
        <v>28</v>
      </c>
      <c r="B37" s="38">
        <v>44649</v>
      </c>
      <c r="C37" s="9" t="s">
        <v>558</v>
      </c>
      <c r="D37" s="9" t="s">
        <v>1825</v>
      </c>
      <c r="E37" s="9" t="s">
        <v>559</v>
      </c>
      <c r="F37" s="9" t="s">
        <v>43</v>
      </c>
      <c r="G37" s="54">
        <v>6567.79</v>
      </c>
      <c r="H37" s="54">
        <f>591*2</f>
        <v>1182</v>
      </c>
      <c r="I37" s="54">
        <f t="shared" si="2"/>
        <v>7749.79</v>
      </c>
      <c r="J37" s="58" t="e">
        <f>+#REF!+#REF!+#REF!+#REF!+0.21</f>
        <v>#REF!</v>
      </c>
      <c r="K37" s="8">
        <v>44651</v>
      </c>
    </row>
    <row r="38" spans="1:13" s="1" customFormat="1" ht="30" x14ac:dyDescent="0.2">
      <c r="A38" s="7">
        <v>29</v>
      </c>
      <c r="B38" s="38">
        <v>44621</v>
      </c>
      <c r="C38" s="9" t="s">
        <v>560</v>
      </c>
      <c r="D38" s="9" t="s">
        <v>1825</v>
      </c>
      <c r="E38" s="9" t="s">
        <v>561</v>
      </c>
      <c r="F38" s="9" t="s">
        <v>562</v>
      </c>
      <c r="G38" s="54">
        <v>1267</v>
      </c>
      <c r="H38" s="54">
        <v>228</v>
      </c>
      <c r="I38" s="54">
        <f t="shared" si="2"/>
        <v>1495</v>
      </c>
      <c r="J38" s="58" t="e">
        <f>+#REF!+#REF!+#REF!+#REF!</f>
        <v>#REF!</v>
      </c>
      <c r="K38" s="8">
        <v>44629</v>
      </c>
    </row>
    <row r="39" spans="1:13" s="1" customFormat="1" ht="30" x14ac:dyDescent="0.2">
      <c r="A39" s="7">
        <v>30</v>
      </c>
      <c r="B39" s="38">
        <v>44636</v>
      </c>
      <c r="C39" s="9" t="s">
        <v>563</v>
      </c>
      <c r="D39" s="9" t="s">
        <v>1825</v>
      </c>
      <c r="E39" s="9" t="s">
        <v>561</v>
      </c>
      <c r="F39" s="9" t="s">
        <v>562</v>
      </c>
      <c r="G39" s="54">
        <v>1629</v>
      </c>
      <c r="H39" s="54">
        <v>294</v>
      </c>
      <c r="I39" s="54">
        <f t="shared" si="2"/>
        <v>1923</v>
      </c>
      <c r="J39" s="58" t="e">
        <f>+#REF!+#REF!+#REF!+#REF!</f>
        <v>#REF!</v>
      </c>
      <c r="K39" s="8">
        <v>44651</v>
      </c>
    </row>
    <row r="40" spans="1:13" s="1" customFormat="1" ht="30" x14ac:dyDescent="0.2">
      <c r="A40" s="7">
        <v>31</v>
      </c>
      <c r="B40" s="38">
        <v>44766</v>
      </c>
      <c r="C40" s="9" t="s">
        <v>476</v>
      </c>
      <c r="D40" s="9" t="s">
        <v>1825</v>
      </c>
      <c r="E40" s="9" t="s">
        <v>1269</v>
      </c>
      <c r="F40" s="9" t="s">
        <v>1270</v>
      </c>
      <c r="G40" s="54">
        <v>476</v>
      </c>
      <c r="H40" s="54">
        <v>0</v>
      </c>
      <c r="I40" s="54">
        <f t="shared" si="2"/>
        <v>476</v>
      </c>
      <c r="J40" s="58" t="e">
        <f>+#REF!+#REF!+#REF!+#REF!</f>
        <v>#REF!</v>
      </c>
      <c r="K40" s="8">
        <v>44766</v>
      </c>
    </row>
    <row r="41" spans="1:13" s="1" customFormat="1" ht="105" x14ac:dyDescent="0.2">
      <c r="A41" s="7">
        <v>32</v>
      </c>
      <c r="B41" s="38">
        <v>44767</v>
      </c>
      <c r="C41" s="9" t="s">
        <v>1271</v>
      </c>
      <c r="D41" s="9" t="s">
        <v>1825</v>
      </c>
      <c r="E41" s="9" t="s">
        <v>1272</v>
      </c>
      <c r="F41" s="9" t="s">
        <v>441</v>
      </c>
      <c r="G41" s="54">
        <v>2552</v>
      </c>
      <c r="H41" s="54">
        <f>230+230</f>
        <v>460</v>
      </c>
      <c r="I41" s="54">
        <f t="shared" si="2"/>
        <v>3012</v>
      </c>
      <c r="J41" s="58" t="e">
        <f>+#REF!+#REF!+#REF!+#REF!-1</f>
        <v>#REF!</v>
      </c>
      <c r="K41" s="8">
        <v>44800</v>
      </c>
    </row>
    <row r="42" spans="1:13" s="1" customFormat="1" ht="30" x14ac:dyDescent="0.2">
      <c r="A42" s="7">
        <v>33</v>
      </c>
      <c r="B42" s="38">
        <v>44767</v>
      </c>
      <c r="C42" s="9" t="s">
        <v>476</v>
      </c>
      <c r="D42" s="9" t="s">
        <v>1825</v>
      </c>
      <c r="E42" s="9" t="s">
        <v>1273</v>
      </c>
      <c r="F42" s="9" t="s">
        <v>1270</v>
      </c>
      <c r="G42" s="54">
        <v>1690</v>
      </c>
      <c r="H42" s="54">
        <v>0</v>
      </c>
      <c r="I42" s="54">
        <f t="shared" ref="I42:I43" si="3">+G42+H42</f>
        <v>1690</v>
      </c>
      <c r="J42" s="58" t="e">
        <f>+#REF!+#REF!+#REF!+#REF!</f>
        <v>#REF!</v>
      </c>
      <c r="K42" s="8">
        <v>44767</v>
      </c>
    </row>
    <row r="43" spans="1:13" s="1" customFormat="1" ht="135" x14ac:dyDescent="0.2">
      <c r="A43" s="7">
        <v>34</v>
      </c>
      <c r="B43" s="38">
        <v>44812</v>
      </c>
      <c r="C43" s="9" t="s">
        <v>1279</v>
      </c>
      <c r="D43" s="9" t="s">
        <v>1825</v>
      </c>
      <c r="E43" s="9" t="s">
        <v>1280</v>
      </c>
      <c r="F43" s="9" t="s">
        <v>206</v>
      </c>
      <c r="G43" s="54">
        <v>7517</v>
      </c>
      <c r="H43" s="54">
        <f>677+677</f>
        <v>1354</v>
      </c>
      <c r="I43" s="54">
        <f t="shared" si="3"/>
        <v>8871</v>
      </c>
      <c r="J43" s="58" t="e">
        <f>+#REF!+#REF!+#REF!+#REF!-1</f>
        <v>#REF!</v>
      </c>
      <c r="K43" s="8">
        <v>44854</v>
      </c>
    </row>
    <row r="44" spans="1:13" s="1" customFormat="1" ht="45" x14ac:dyDescent="0.2">
      <c r="A44" s="7">
        <v>35</v>
      </c>
      <c r="B44" s="38">
        <v>44898</v>
      </c>
      <c r="C44" s="9">
        <v>180</v>
      </c>
      <c r="D44" s="9" t="s">
        <v>1825</v>
      </c>
      <c r="E44" s="9" t="s">
        <v>962</v>
      </c>
      <c r="F44" s="9" t="s">
        <v>36</v>
      </c>
      <c r="G44" s="54">
        <v>53000</v>
      </c>
      <c r="H44" s="54">
        <v>0</v>
      </c>
      <c r="I44" s="54">
        <f t="shared" si="2"/>
        <v>53000</v>
      </c>
      <c r="J44" s="58" t="e">
        <f>+#REF!+#REF!+#REF!+#REF!</f>
        <v>#REF!</v>
      </c>
      <c r="K44" s="8">
        <v>44912</v>
      </c>
    </row>
    <row r="45" spans="1:13" s="1" customFormat="1" ht="30" x14ac:dyDescent="0.2">
      <c r="A45" s="7">
        <v>36</v>
      </c>
      <c r="B45" s="38">
        <v>44899</v>
      </c>
      <c r="C45" s="9" t="s">
        <v>619</v>
      </c>
      <c r="D45" s="9" t="s">
        <v>1825</v>
      </c>
      <c r="E45" s="9" t="s">
        <v>620</v>
      </c>
      <c r="F45" s="9" t="s">
        <v>464</v>
      </c>
      <c r="G45" s="54">
        <f>590000-90000</f>
        <v>500000</v>
      </c>
      <c r="H45" s="54">
        <f>106200-16200</f>
        <v>90000</v>
      </c>
      <c r="I45" s="54">
        <f t="shared" si="2"/>
        <v>590000</v>
      </c>
      <c r="J45" s="58" t="e">
        <f>+#REF!+#REF!+#REF!+#REF!</f>
        <v>#REF!</v>
      </c>
      <c r="K45" s="8" t="s">
        <v>1964</v>
      </c>
    </row>
    <row r="46" spans="1:13" s="1" customFormat="1" ht="45" x14ac:dyDescent="0.2">
      <c r="A46" s="7">
        <v>37</v>
      </c>
      <c r="B46" s="38">
        <v>44899</v>
      </c>
      <c r="C46" s="9">
        <v>64127</v>
      </c>
      <c r="D46" s="9" t="s">
        <v>1825</v>
      </c>
      <c r="E46" s="9" t="s">
        <v>622</v>
      </c>
      <c r="F46" s="9" t="s">
        <v>208</v>
      </c>
      <c r="G46" s="54">
        <v>37734.9</v>
      </c>
      <c r="H46" s="54">
        <f>3396*2</f>
        <v>6792</v>
      </c>
      <c r="I46" s="54">
        <f t="shared" si="2"/>
        <v>44526.9</v>
      </c>
      <c r="J46" s="58" t="e">
        <f>+#REF!+#REF!+#REF!+#REF!+0.1</f>
        <v>#REF!</v>
      </c>
      <c r="K46" s="8">
        <v>44954</v>
      </c>
    </row>
    <row r="47" spans="1:13" s="1" customFormat="1" ht="45" x14ac:dyDescent="0.2">
      <c r="A47" s="7">
        <v>38</v>
      </c>
      <c r="B47" s="38">
        <v>44900</v>
      </c>
      <c r="C47" s="9">
        <v>64195</v>
      </c>
      <c r="D47" s="9" t="s">
        <v>1825</v>
      </c>
      <c r="E47" s="9" t="s">
        <v>623</v>
      </c>
      <c r="F47" s="9" t="s">
        <v>208</v>
      </c>
      <c r="G47" s="54">
        <v>4658</v>
      </c>
      <c r="H47" s="54">
        <f>419*2</f>
        <v>838</v>
      </c>
      <c r="I47" s="54">
        <f t="shared" si="2"/>
        <v>5496</v>
      </c>
      <c r="J47" s="58" t="e">
        <f>+#REF!+#REF!+#REF!+#REF!</f>
        <v>#REF!</v>
      </c>
      <c r="K47" s="8">
        <v>44954</v>
      </c>
    </row>
    <row r="48" spans="1:13" s="1" customFormat="1" ht="90" x14ac:dyDescent="0.2">
      <c r="A48" s="7">
        <v>39</v>
      </c>
      <c r="B48" s="38">
        <v>44900</v>
      </c>
      <c r="C48" s="9" t="s">
        <v>624</v>
      </c>
      <c r="D48" s="9" t="s">
        <v>1825</v>
      </c>
      <c r="E48" s="9" t="s">
        <v>625</v>
      </c>
      <c r="F48" s="9" t="s">
        <v>447</v>
      </c>
      <c r="G48" s="54">
        <v>46677.7</v>
      </c>
      <c r="H48" s="54">
        <f>4201*2</f>
        <v>8402</v>
      </c>
      <c r="I48" s="54">
        <f t="shared" si="2"/>
        <v>55079.7</v>
      </c>
      <c r="J48" s="58" t="e">
        <f>+#REF!+#REF!+#REF!+#REF!+0.3</f>
        <v>#REF!</v>
      </c>
      <c r="K48" s="8">
        <v>44953</v>
      </c>
    </row>
    <row r="49" spans="1:11" s="1" customFormat="1" ht="45" x14ac:dyDescent="0.2">
      <c r="A49" s="7">
        <v>40</v>
      </c>
      <c r="B49" s="38">
        <v>44900</v>
      </c>
      <c r="C49" s="9" t="s">
        <v>627</v>
      </c>
      <c r="D49" s="9" t="s">
        <v>1825</v>
      </c>
      <c r="E49" s="9" t="s">
        <v>628</v>
      </c>
      <c r="F49" s="9" t="s">
        <v>447</v>
      </c>
      <c r="G49" s="54">
        <v>26017.200000000001</v>
      </c>
      <c r="H49" s="54">
        <f>2342*2</f>
        <v>4684</v>
      </c>
      <c r="I49" s="54">
        <f t="shared" si="2"/>
        <v>30701.200000000001</v>
      </c>
      <c r="J49" s="58" t="e">
        <f>+#REF!+#REF!+#REF!+#REF!-0.2</f>
        <v>#REF!</v>
      </c>
      <c r="K49" s="8">
        <v>44953</v>
      </c>
    </row>
    <row r="50" spans="1:11" s="1" customFormat="1" ht="90" x14ac:dyDescent="0.2">
      <c r="A50" s="7">
        <v>41</v>
      </c>
      <c r="B50" s="38">
        <v>44901</v>
      </c>
      <c r="C50" s="9" t="s">
        <v>629</v>
      </c>
      <c r="D50" s="9" t="s">
        <v>1825</v>
      </c>
      <c r="E50" s="9" t="s">
        <v>630</v>
      </c>
      <c r="F50" s="9" t="s">
        <v>441</v>
      </c>
      <c r="G50" s="54">
        <v>36568.5</v>
      </c>
      <c r="H50" s="54">
        <f>3291*2</f>
        <v>6582</v>
      </c>
      <c r="I50" s="54">
        <f t="shared" si="2"/>
        <v>43150.5</v>
      </c>
      <c r="J50" s="58" t="e">
        <f>#REF!+#REF!+#REF!+#REF!-0.5</f>
        <v>#REF!</v>
      </c>
      <c r="K50" s="8">
        <v>44953</v>
      </c>
    </row>
    <row r="51" spans="1:11" s="1" customFormat="1" ht="75" x14ac:dyDescent="0.2">
      <c r="A51" s="7">
        <v>42</v>
      </c>
      <c r="B51" s="38">
        <v>44902</v>
      </c>
      <c r="C51" s="9">
        <v>64247</v>
      </c>
      <c r="D51" s="9" t="s">
        <v>1825</v>
      </c>
      <c r="E51" s="9" t="s">
        <v>632</v>
      </c>
      <c r="F51" s="9" t="s">
        <v>208</v>
      </c>
      <c r="G51" s="54">
        <v>39181.980000000003</v>
      </c>
      <c r="H51" s="54">
        <f>3526*2</f>
        <v>7052</v>
      </c>
      <c r="I51" s="54">
        <f t="shared" si="2"/>
        <v>46233.98</v>
      </c>
      <c r="J51" s="58" t="e">
        <f>+#REF!+#REF!+#REF!+#REF!+0.02</f>
        <v>#REF!</v>
      </c>
      <c r="K51" s="8">
        <v>44954</v>
      </c>
    </row>
    <row r="52" spans="1:11" s="1" customFormat="1" ht="30" x14ac:dyDescent="0.2">
      <c r="A52" s="7">
        <v>43</v>
      </c>
      <c r="B52" s="38">
        <v>44908</v>
      </c>
      <c r="C52" s="9">
        <v>227</v>
      </c>
      <c r="D52" s="9" t="s">
        <v>1825</v>
      </c>
      <c r="E52" s="9" t="s">
        <v>638</v>
      </c>
      <c r="F52" s="9" t="s">
        <v>86</v>
      </c>
      <c r="G52" s="54">
        <v>18348.8</v>
      </c>
      <c r="H52" s="54">
        <f>1651*2</f>
        <v>3302</v>
      </c>
      <c r="I52" s="54">
        <f t="shared" si="2"/>
        <v>21650.799999999999</v>
      </c>
      <c r="J52" s="58" t="e">
        <f>+#REF!+#REF!+#REF!+#REF!+1.2</f>
        <v>#REF!</v>
      </c>
      <c r="K52" s="8">
        <v>44923</v>
      </c>
    </row>
    <row r="53" spans="1:11" s="1" customFormat="1" ht="45" x14ac:dyDescent="0.2">
      <c r="A53" s="7">
        <v>44</v>
      </c>
      <c r="B53" s="38">
        <v>44908</v>
      </c>
      <c r="C53" s="9" t="s">
        <v>985</v>
      </c>
      <c r="D53" s="9" t="s">
        <v>1825</v>
      </c>
      <c r="E53" s="9" t="s">
        <v>986</v>
      </c>
      <c r="F53" s="9" t="s">
        <v>987</v>
      </c>
      <c r="G53" s="54">
        <v>1478</v>
      </c>
      <c r="H53" s="54">
        <f>133+133</f>
        <v>266</v>
      </c>
      <c r="I53" s="54">
        <f t="shared" si="2"/>
        <v>1744</v>
      </c>
      <c r="J53" s="58" t="e">
        <f>+#REF!+#REF!+#REF!+#REF!</f>
        <v>#REF!</v>
      </c>
      <c r="K53" s="38">
        <v>44908</v>
      </c>
    </row>
    <row r="54" spans="1:11" s="1" customFormat="1" ht="45" x14ac:dyDescent="0.2">
      <c r="A54" s="7">
        <v>45</v>
      </c>
      <c r="B54" s="38">
        <v>44908</v>
      </c>
      <c r="C54" s="9" t="s">
        <v>639</v>
      </c>
      <c r="D54" s="9" t="s">
        <v>1825</v>
      </c>
      <c r="E54" s="9" t="s">
        <v>640</v>
      </c>
      <c r="F54" s="9" t="s">
        <v>447</v>
      </c>
      <c r="G54" s="54">
        <v>3590.4</v>
      </c>
      <c r="H54" s="54">
        <f>323*2</f>
        <v>646</v>
      </c>
      <c r="I54" s="54">
        <f t="shared" si="2"/>
        <v>4236.3999999999996</v>
      </c>
      <c r="J54" s="58" t="e">
        <f>+#REF!+#REF!+#REF!+#REF!+0.6</f>
        <v>#REF!</v>
      </c>
      <c r="K54" s="8">
        <v>44953</v>
      </c>
    </row>
    <row r="55" spans="1:11" s="1" customFormat="1" ht="60" x14ac:dyDescent="0.2">
      <c r="A55" s="7">
        <v>46</v>
      </c>
      <c r="B55" s="38">
        <v>44908</v>
      </c>
      <c r="C55" s="9" t="s">
        <v>641</v>
      </c>
      <c r="D55" s="9" t="s">
        <v>1825</v>
      </c>
      <c r="E55" s="9" t="s">
        <v>642</v>
      </c>
      <c r="F55" s="9" t="s">
        <v>643</v>
      </c>
      <c r="G55" s="54">
        <v>51810</v>
      </c>
      <c r="H55" s="54">
        <v>9326</v>
      </c>
      <c r="I55" s="54">
        <f t="shared" si="2"/>
        <v>61136</v>
      </c>
      <c r="J55" s="58" t="e">
        <f>+#REF!+#REF!+#REF!+#REF!</f>
        <v>#REF!</v>
      </c>
      <c r="K55" s="8">
        <v>45012</v>
      </c>
    </row>
    <row r="56" spans="1:11" s="1" customFormat="1" ht="45" x14ac:dyDescent="0.2">
      <c r="A56" s="7">
        <v>47</v>
      </c>
      <c r="B56" s="38">
        <v>44908</v>
      </c>
      <c r="C56" s="9" t="s">
        <v>983</v>
      </c>
      <c r="D56" s="9" t="s">
        <v>1825</v>
      </c>
      <c r="E56" s="9" t="s">
        <v>984</v>
      </c>
      <c r="F56" s="9" t="s">
        <v>691</v>
      </c>
      <c r="G56" s="54">
        <v>71</v>
      </c>
      <c r="H56" s="54">
        <f>5+5</f>
        <v>10</v>
      </c>
      <c r="I56" s="54">
        <f t="shared" si="2"/>
        <v>81</v>
      </c>
      <c r="J56" s="58" t="e">
        <f>+#REF!+#REF!+#REF!+#REF!</f>
        <v>#REF!</v>
      </c>
      <c r="K56" s="8">
        <v>44908</v>
      </c>
    </row>
    <row r="57" spans="1:11" s="1" customFormat="1" ht="45" x14ac:dyDescent="0.2">
      <c r="A57" s="7">
        <v>48</v>
      </c>
      <c r="B57" s="38">
        <v>44908</v>
      </c>
      <c r="C57" s="9" t="s">
        <v>644</v>
      </c>
      <c r="D57" s="9" t="s">
        <v>1825</v>
      </c>
      <c r="E57" s="9" t="s">
        <v>645</v>
      </c>
      <c r="F57" s="9" t="s">
        <v>441</v>
      </c>
      <c r="G57" s="54">
        <v>76232</v>
      </c>
      <c r="H57" s="54">
        <f>6861*2</f>
        <v>13722</v>
      </c>
      <c r="I57" s="54">
        <f t="shared" si="2"/>
        <v>89954</v>
      </c>
      <c r="J57" s="58" t="e">
        <f>+#REF!+#REF!+#REF!+#REF!</f>
        <v>#REF!</v>
      </c>
      <c r="K57" s="8">
        <v>44953</v>
      </c>
    </row>
    <row r="58" spans="1:11" s="1" customFormat="1" ht="60" x14ac:dyDescent="0.2">
      <c r="A58" s="7">
        <v>49</v>
      </c>
      <c r="B58" s="38">
        <v>44908</v>
      </c>
      <c r="C58" s="9" t="s">
        <v>646</v>
      </c>
      <c r="D58" s="9" t="s">
        <v>1825</v>
      </c>
      <c r="E58" s="9" t="s">
        <v>647</v>
      </c>
      <c r="F58" s="9" t="s">
        <v>441</v>
      </c>
      <c r="G58" s="54">
        <v>76140</v>
      </c>
      <c r="H58" s="54">
        <f>6853*2</f>
        <v>13706</v>
      </c>
      <c r="I58" s="54">
        <f t="shared" si="2"/>
        <v>89846</v>
      </c>
      <c r="J58" s="58" t="e">
        <f>+#REF!+#REF!+#REF!+#REF!</f>
        <v>#REF!</v>
      </c>
      <c r="K58" s="8">
        <v>44953</v>
      </c>
    </row>
    <row r="59" spans="1:11" s="1" customFormat="1" ht="30" x14ac:dyDescent="0.2">
      <c r="A59" s="7">
        <v>50</v>
      </c>
      <c r="B59" s="38">
        <v>44912</v>
      </c>
      <c r="C59" s="9" t="s">
        <v>650</v>
      </c>
      <c r="D59" s="9" t="s">
        <v>1825</v>
      </c>
      <c r="E59" s="9" t="s">
        <v>651</v>
      </c>
      <c r="F59" s="9" t="s">
        <v>447</v>
      </c>
      <c r="G59" s="54">
        <v>24038</v>
      </c>
      <c r="H59" s="54">
        <f>2163*2</f>
        <v>4326</v>
      </c>
      <c r="I59" s="54">
        <f t="shared" si="2"/>
        <v>28364</v>
      </c>
      <c r="J59" s="58" t="e">
        <f>+#REF!+#REF!+#REF!+#REF!</f>
        <v>#REF!</v>
      </c>
      <c r="K59" s="8">
        <v>44953</v>
      </c>
    </row>
    <row r="60" spans="1:11" s="1" customFormat="1" ht="45" x14ac:dyDescent="0.2">
      <c r="A60" s="7">
        <v>51</v>
      </c>
      <c r="B60" s="38">
        <v>44914</v>
      </c>
      <c r="C60" s="9" t="s">
        <v>652</v>
      </c>
      <c r="D60" s="9" t="s">
        <v>1825</v>
      </c>
      <c r="E60" s="9" t="s">
        <v>653</v>
      </c>
      <c r="F60" s="9" t="s">
        <v>441</v>
      </c>
      <c r="G60" s="54">
        <v>30385</v>
      </c>
      <c r="H60" s="54">
        <f>2735*2</f>
        <v>5470</v>
      </c>
      <c r="I60" s="54">
        <f t="shared" si="2"/>
        <v>35855</v>
      </c>
      <c r="J60" s="58" t="e">
        <f>+#REF!+#REF!+#REF!+#REF!</f>
        <v>#REF!</v>
      </c>
      <c r="K60" s="8">
        <v>44953</v>
      </c>
    </row>
    <row r="61" spans="1:11" s="1" customFormat="1" ht="60" x14ac:dyDescent="0.2">
      <c r="A61" s="7">
        <v>52</v>
      </c>
      <c r="B61" s="38">
        <v>44904</v>
      </c>
      <c r="C61" s="9" t="s">
        <v>635</v>
      </c>
      <c r="D61" s="9" t="s">
        <v>1825</v>
      </c>
      <c r="E61" s="9" t="s">
        <v>662</v>
      </c>
      <c r="F61" s="9" t="s">
        <v>663</v>
      </c>
      <c r="G61" s="54">
        <v>2400</v>
      </c>
      <c r="H61" s="54">
        <v>0</v>
      </c>
      <c r="I61" s="54">
        <f t="shared" si="2"/>
        <v>2400</v>
      </c>
      <c r="J61" s="58" t="e">
        <f>+#REF!+#REF!+#REF!+#REF!</f>
        <v>#REF!</v>
      </c>
      <c r="K61" s="38">
        <v>44904</v>
      </c>
    </row>
    <row r="62" spans="1:11" s="1" customFormat="1" ht="30" x14ac:dyDescent="0.2">
      <c r="A62" s="7">
        <v>53</v>
      </c>
      <c r="B62" s="38">
        <v>44908</v>
      </c>
      <c r="C62" s="9" t="s">
        <v>635</v>
      </c>
      <c r="D62" s="9" t="s">
        <v>1825</v>
      </c>
      <c r="E62" s="9" t="s">
        <v>664</v>
      </c>
      <c r="F62" s="9" t="s">
        <v>665</v>
      </c>
      <c r="G62" s="54">
        <v>540</v>
      </c>
      <c r="H62" s="54">
        <v>0</v>
      </c>
      <c r="I62" s="54">
        <f t="shared" ref="I62:I93" si="4">+G62+H62</f>
        <v>540</v>
      </c>
      <c r="J62" s="58" t="e">
        <f>+#REF!+#REF!+#REF!+#REF!</f>
        <v>#REF!</v>
      </c>
      <c r="K62" s="8">
        <v>44908</v>
      </c>
    </row>
    <row r="63" spans="1:11" s="1" customFormat="1" ht="45" x14ac:dyDescent="0.2">
      <c r="A63" s="7">
        <v>54</v>
      </c>
      <c r="B63" s="38">
        <v>44908</v>
      </c>
      <c r="C63" s="9" t="s">
        <v>981</v>
      </c>
      <c r="D63" s="9" t="s">
        <v>1825</v>
      </c>
      <c r="E63" s="9" t="s">
        <v>982</v>
      </c>
      <c r="F63" s="9" t="s">
        <v>915</v>
      </c>
      <c r="G63" s="54">
        <v>690</v>
      </c>
      <c r="H63" s="54">
        <v>0</v>
      </c>
      <c r="I63" s="54">
        <f t="shared" si="4"/>
        <v>690</v>
      </c>
      <c r="J63" s="58" t="e">
        <f>+#REF!+#REF!+#REF!+#REF!</f>
        <v>#REF!</v>
      </c>
      <c r="K63" s="38">
        <v>44908</v>
      </c>
    </row>
    <row r="64" spans="1:11" s="1" customFormat="1" ht="45" x14ac:dyDescent="0.2">
      <c r="A64" s="7">
        <v>55</v>
      </c>
      <c r="B64" s="38">
        <v>44911</v>
      </c>
      <c r="C64" s="9" t="s">
        <v>635</v>
      </c>
      <c r="D64" s="9" t="s">
        <v>1825</v>
      </c>
      <c r="E64" s="9" t="s">
        <v>666</v>
      </c>
      <c r="F64" s="9" t="s">
        <v>729</v>
      </c>
      <c r="G64" s="54">
        <v>380</v>
      </c>
      <c r="H64" s="54">
        <v>0</v>
      </c>
      <c r="I64" s="54">
        <f t="shared" si="4"/>
        <v>380</v>
      </c>
      <c r="J64" s="58" t="e">
        <f>+#REF!+#REF!+#REF!+#REF!</f>
        <v>#REF!</v>
      </c>
      <c r="K64" s="8">
        <v>44911</v>
      </c>
    </row>
    <row r="65" spans="1:11" s="1" customFormat="1" ht="30" x14ac:dyDescent="0.2">
      <c r="A65" s="7">
        <v>56</v>
      </c>
      <c r="B65" s="38">
        <v>44912</v>
      </c>
      <c r="C65" s="9" t="s">
        <v>988</v>
      </c>
      <c r="D65" s="9" t="s">
        <v>1825</v>
      </c>
      <c r="E65" s="9" t="s">
        <v>989</v>
      </c>
      <c r="F65" s="9" t="s">
        <v>814</v>
      </c>
      <c r="G65" s="54">
        <v>2100</v>
      </c>
      <c r="H65" s="54">
        <v>0</v>
      </c>
      <c r="I65" s="54">
        <f t="shared" si="4"/>
        <v>2100</v>
      </c>
      <c r="J65" s="58" t="e">
        <f>+#REF!+#REF!+#REF!+#REF!</f>
        <v>#REF!</v>
      </c>
      <c r="K65" s="8">
        <v>44912</v>
      </c>
    </row>
    <row r="66" spans="1:11" s="1" customFormat="1" ht="30" x14ac:dyDescent="0.2">
      <c r="A66" s="7">
        <v>57</v>
      </c>
      <c r="B66" s="38">
        <v>44914</v>
      </c>
      <c r="C66" s="9" t="s">
        <v>635</v>
      </c>
      <c r="D66" s="9" t="s">
        <v>1825</v>
      </c>
      <c r="E66" s="9" t="s">
        <v>727</v>
      </c>
      <c r="F66" s="9" t="s">
        <v>728</v>
      </c>
      <c r="G66" s="54">
        <v>100</v>
      </c>
      <c r="H66" s="54">
        <v>0</v>
      </c>
      <c r="I66" s="54">
        <f t="shared" si="4"/>
        <v>100</v>
      </c>
      <c r="J66" s="58" t="e">
        <f>+#REF!+#REF!+#REF!+#REF!</f>
        <v>#REF!</v>
      </c>
      <c r="K66" s="8">
        <v>44914</v>
      </c>
    </row>
    <row r="67" spans="1:11" s="1" customFormat="1" ht="45" x14ac:dyDescent="0.2">
      <c r="A67" s="7">
        <v>58</v>
      </c>
      <c r="B67" s="38">
        <v>44916</v>
      </c>
      <c r="C67" s="9" t="s">
        <v>635</v>
      </c>
      <c r="D67" s="9" t="s">
        <v>1825</v>
      </c>
      <c r="E67" s="9" t="s">
        <v>730</v>
      </c>
      <c r="F67" s="9" t="s">
        <v>665</v>
      </c>
      <c r="G67" s="54">
        <v>240</v>
      </c>
      <c r="H67" s="54">
        <v>0</v>
      </c>
      <c r="I67" s="54">
        <f t="shared" si="4"/>
        <v>240</v>
      </c>
      <c r="J67" s="58" t="e">
        <f>+#REF!+#REF!+#REF!+#REF!</f>
        <v>#REF!</v>
      </c>
      <c r="K67" s="8">
        <v>44916</v>
      </c>
    </row>
    <row r="68" spans="1:11" s="1" customFormat="1" ht="30" x14ac:dyDescent="0.2">
      <c r="A68" s="7">
        <v>59</v>
      </c>
      <c r="B68" s="38">
        <v>44918</v>
      </c>
      <c r="C68" s="9">
        <v>157</v>
      </c>
      <c r="D68" s="9" t="s">
        <v>1825</v>
      </c>
      <c r="E68" s="9" t="s">
        <v>667</v>
      </c>
      <c r="F68" s="9" t="s">
        <v>668</v>
      </c>
      <c r="G68" s="54">
        <v>86000</v>
      </c>
      <c r="H68" s="54">
        <v>0</v>
      </c>
      <c r="I68" s="54">
        <f t="shared" si="4"/>
        <v>86000</v>
      </c>
      <c r="J68" s="58" t="e">
        <f>+#REF!+#REF!+#REF!+#REF!</f>
        <v>#REF!</v>
      </c>
      <c r="K68" s="58" t="s">
        <v>1997</v>
      </c>
    </row>
    <row r="69" spans="1:11" s="1" customFormat="1" ht="60" x14ac:dyDescent="0.2">
      <c r="A69" s="7">
        <v>60</v>
      </c>
      <c r="B69" s="38">
        <v>44917</v>
      </c>
      <c r="C69" s="9" t="s">
        <v>681</v>
      </c>
      <c r="D69" s="9" t="s">
        <v>1825</v>
      </c>
      <c r="E69" s="9" t="s">
        <v>684</v>
      </c>
      <c r="F69" s="9" t="s">
        <v>447</v>
      </c>
      <c r="G69" s="54">
        <v>4164.1499999999996</v>
      </c>
      <c r="H69" s="54">
        <f>375*2</f>
        <v>750</v>
      </c>
      <c r="I69" s="54">
        <f t="shared" si="4"/>
        <v>4914.1499999999996</v>
      </c>
      <c r="J69" s="58" t="e">
        <f>+#REF!+#REF!+#REF!+#REF!-0.15</f>
        <v>#REF!</v>
      </c>
      <c r="K69" s="8">
        <v>44953</v>
      </c>
    </row>
    <row r="70" spans="1:11" s="1" customFormat="1" ht="45" x14ac:dyDescent="0.2">
      <c r="A70" s="7">
        <v>61</v>
      </c>
      <c r="B70" s="38">
        <v>44918</v>
      </c>
      <c r="C70" s="9" t="s">
        <v>686</v>
      </c>
      <c r="D70" s="9" t="s">
        <v>1825</v>
      </c>
      <c r="E70" s="9" t="s">
        <v>687</v>
      </c>
      <c r="F70" s="9" t="s">
        <v>447</v>
      </c>
      <c r="G70" s="54">
        <v>9667.9</v>
      </c>
      <c r="H70" s="54">
        <f>870*2</f>
        <v>1740</v>
      </c>
      <c r="I70" s="54">
        <f t="shared" si="4"/>
        <v>11407.9</v>
      </c>
      <c r="J70" s="58" t="e">
        <f>+#REF!+#REF!+#REF!+#REF!+0.1</f>
        <v>#REF!</v>
      </c>
      <c r="K70" s="8">
        <v>44953</v>
      </c>
    </row>
    <row r="71" spans="1:11" s="1" customFormat="1" ht="60" x14ac:dyDescent="0.2">
      <c r="A71" s="7">
        <v>62</v>
      </c>
      <c r="B71" s="38">
        <v>44921</v>
      </c>
      <c r="C71" s="9" t="s">
        <v>635</v>
      </c>
      <c r="D71" s="9" t="s">
        <v>1825</v>
      </c>
      <c r="E71" s="9" t="s">
        <v>662</v>
      </c>
      <c r="F71" s="9" t="s">
        <v>731</v>
      </c>
      <c r="G71" s="54">
        <v>2400</v>
      </c>
      <c r="H71" s="54">
        <v>0</v>
      </c>
      <c r="I71" s="54">
        <f t="shared" si="4"/>
        <v>2400</v>
      </c>
      <c r="J71" s="58" t="e">
        <f>+#REF!+#REF!+#REF!+#REF!</f>
        <v>#REF!</v>
      </c>
      <c r="K71" s="8">
        <v>44921</v>
      </c>
    </row>
    <row r="72" spans="1:11" s="1" customFormat="1" ht="60" x14ac:dyDescent="0.2">
      <c r="A72" s="7">
        <v>63</v>
      </c>
      <c r="B72" s="38">
        <v>44922</v>
      </c>
      <c r="C72" s="9" t="s">
        <v>688</v>
      </c>
      <c r="D72" s="9" t="s">
        <v>1825</v>
      </c>
      <c r="E72" s="9" t="s">
        <v>689</v>
      </c>
      <c r="F72" s="9" t="s">
        <v>426</v>
      </c>
      <c r="G72" s="54">
        <v>6400</v>
      </c>
      <c r="H72" s="54">
        <f>576*2</f>
        <v>1152</v>
      </c>
      <c r="I72" s="54">
        <f t="shared" si="4"/>
        <v>7552</v>
      </c>
      <c r="J72" s="58" t="e">
        <f>+#REF!+#REF!+#REF!+#REF!</f>
        <v>#REF!</v>
      </c>
      <c r="K72" s="8">
        <v>44967</v>
      </c>
    </row>
    <row r="73" spans="1:11" s="1" customFormat="1" ht="30" x14ac:dyDescent="0.2">
      <c r="A73" s="7">
        <v>64</v>
      </c>
      <c r="B73" s="38">
        <v>44923</v>
      </c>
      <c r="C73" s="9">
        <v>54183</v>
      </c>
      <c r="D73" s="9" t="s">
        <v>1825</v>
      </c>
      <c r="E73" s="9" t="s">
        <v>1009</v>
      </c>
      <c r="F73" s="9" t="s">
        <v>158</v>
      </c>
      <c r="G73" s="54">
        <v>230</v>
      </c>
      <c r="H73" s="54">
        <v>0</v>
      </c>
      <c r="I73" s="54">
        <f t="shared" si="4"/>
        <v>230</v>
      </c>
      <c r="J73" s="58" t="e">
        <f>+#REF!+#REF!+#REF!+#REF!</f>
        <v>#REF!</v>
      </c>
      <c r="K73" s="8">
        <v>44923</v>
      </c>
    </row>
    <row r="74" spans="1:11" s="1" customFormat="1" ht="45" x14ac:dyDescent="0.2">
      <c r="A74" s="7">
        <v>65</v>
      </c>
      <c r="B74" s="38">
        <v>44928</v>
      </c>
      <c r="C74" s="9">
        <v>64812</v>
      </c>
      <c r="D74" s="9" t="s">
        <v>1825</v>
      </c>
      <c r="E74" s="9" t="s">
        <v>746</v>
      </c>
      <c r="F74" s="9" t="s">
        <v>208</v>
      </c>
      <c r="G74" s="54">
        <f>2200+396</f>
        <v>2596</v>
      </c>
      <c r="H74" s="54">
        <v>0</v>
      </c>
      <c r="I74" s="54">
        <f t="shared" si="4"/>
        <v>2596</v>
      </c>
      <c r="J74" s="58" t="e">
        <f>+#REF!+#REF!+#REF!+#REF!</f>
        <v>#REF!</v>
      </c>
      <c r="K74" s="8">
        <v>44980</v>
      </c>
    </row>
    <row r="75" spans="1:11" s="1" customFormat="1" ht="30" x14ac:dyDescent="0.2">
      <c r="A75" s="7">
        <v>66</v>
      </c>
      <c r="B75" s="38">
        <v>44930</v>
      </c>
      <c r="C75" s="9" t="s">
        <v>747</v>
      </c>
      <c r="D75" s="9" t="s">
        <v>1825</v>
      </c>
      <c r="E75" s="9" t="s">
        <v>748</v>
      </c>
      <c r="F75" s="9" t="s">
        <v>426</v>
      </c>
      <c r="G75" s="54">
        <v>137200</v>
      </c>
      <c r="H75" s="54">
        <f>12348*2</f>
        <v>24696</v>
      </c>
      <c r="I75" s="54">
        <f t="shared" si="4"/>
        <v>161896</v>
      </c>
      <c r="J75" s="58" t="e">
        <f>+#REF!+#REF!+#REF!+#REF!</f>
        <v>#REF!</v>
      </c>
      <c r="K75" s="8">
        <v>44967</v>
      </c>
    </row>
    <row r="76" spans="1:11" s="1" customFormat="1" ht="45" x14ac:dyDescent="0.2">
      <c r="A76" s="7">
        <v>67</v>
      </c>
      <c r="B76" s="38">
        <v>44930</v>
      </c>
      <c r="C76" s="9" t="s">
        <v>749</v>
      </c>
      <c r="D76" s="9" t="s">
        <v>1825</v>
      </c>
      <c r="E76" s="9" t="s">
        <v>750</v>
      </c>
      <c r="F76" s="9" t="s">
        <v>426</v>
      </c>
      <c r="G76" s="54">
        <v>29827.5</v>
      </c>
      <c r="H76" s="54">
        <f>2684*2</f>
        <v>5368</v>
      </c>
      <c r="I76" s="54">
        <f t="shared" si="4"/>
        <v>35195.5</v>
      </c>
      <c r="J76" s="58" t="e">
        <f>+#REF!+#REF!+#REF!+#REF!+0.5</f>
        <v>#REF!</v>
      </c>
      <c r="K76" s="8">
        <v>44967</v>
      </c>
    </row>
    <row r="77" spans="1:11" s="1" customFormat="1" ht="30" x14ac:dyDescent="0.2">
      <c r="A77" s="7">
        <v>68</v>
      </c>
      <c r="B77" s="38">
        <v>44930</v>
      </c>
      <c r="C77" s="9" t="s">
        <v>476</v>
      </c>
      <c r="D77" s="9" t="s">
        <v>1825</v>
      </c>
      <c r="E77" s="9" t="s">
        <v>751</v>
      </c>
      <c r="F77" s="9" t="s">
        <v>752</v>
      </c>
      <c r="G77" s="54">
        <v>2500</v>
      </c>
      <c r="H77" s="54">
        <v>0</v>
      </c>
      <c r="I77" s="54">
        <f t="shared" si="4"/>
        <v>2500</v>
      </c>
      <c r="J77" s="58" t="e">
        <f>+#REF!+#REF!+#REF!+#REF!</f>
        <v>#REF!</v>
      </c>
      <c r="K77" s="8">
        <v>44930</v>
      </c>
    </row>
    <row r="78" spans="1:11" s="1" customFormat="1" ht="30" x14ac:dyDescent="0.2">
      <c r="A78" s="7">
        <v>69</v>
      </c>
      <c r="B78" s="38">
        <v>44931</v>
      </c>
      <c r="C78" s="9" t="s">
        <v>754</v>
      </c>
      <c r="D78" s="9" t="s">
        <v>1825</v>
      </c>
      <c r="E78" s="9" t="s">
        <v>755</v>
      </c>
      <c r="F78" s="9" t="s">
        <v>447</v>
      </c>
      <c r="G78" s="54">
        <v>10192.98</v>
      </c>
      <c r="H78" s="54">
        <f>917+917</f>
        <v>1834</v>
      </c>
      <c r="I78" s="54">
        <f t="shared" si="4"/>
        <v>12026.98</v>
      </c>
      <c r="J78" s="58" t="e">
        <f>+#REF!+#REF!+#REF!+#REF!+1.02</f>
        <v>#REF!</v>
      </c>
      <c r="K78" s="8">
        <v>44980</v>
      </c>
    </row>
    <row r="79" spans="1:11" s="1" customFormat="1" ht="30" x14ac:dyDescent="0.2">
      <c r="A79" s="7">
        <v>70</v>
      </c>
      <c r="B79" s="38">
        <v>44931</v>
      </c>
      <c r="C79" s="9">
        <v>263</v>
      </c>
      <c r="D79" s="9" t="s">
        <v>1825</v>
      </c>
      <c r="E79" s="9" t="s">
        <v>756</v>
      </c>
      <c r="F79" s="9" t="s">
        <v>86</v>
      </c>
      <c r="G79" s="54">
        <v>425368.8</v>
      </c>
      <c r="H79" s="54">
        <f>38283+38283</f>
        <v>76566</v>
      </c>
      <c r="I79" s="54">
        <f t="shared" si="4"/>
        <v>501934.8</v>
      </c>
      <c r="J79" s="58" t="e">
        <f>+#REF!+#REF!+#REF!+#REF!+0.2</f>
        <v>#REF!</v>
      </c>
      <c r="K79" s="58" t="s">
        <v>2022</v>
      </c>
    </row>
    <row r="80" spans="1:11" s="1" customFormat="1" ht="45" x14ac:dyDescent="0.2">
      <c r="A80" s="7">
        <v>71</v>
      </c>
      <c r="B80" s="38">
        <v>44933</v>
      </c>
      <c r="C80" s="9" t="s">
        <v>758</v>
      </c>
      <c r="D80" s="9" t="s">
        <v>1825</v>
      </c>
      <c r="E80" s="9" t="s">
        <v>759</v>
      </c>
      <c r="F80" s="9" t="s">
        <v>447</v>
      </c>
      <c r="G80" s="54">
        <v>3067.68</v>
      </c>
      <c r="H80" s="54">
        <f>276*2</f>
        <v>552</v>
      </c>
      <c r="I80" s="54">
        <f t="shared" si="4"/>
        <v>3619.68</v>
      </c>
      <c r="J80" s="58" t="e">
        <f>+#REF!+#REF!+#REF!+#REF!+0.32</f>
        <v>#REF!</v>
      </c>
      <c r="K80" s="8">
        <v>44980</v>
      </c>
    </row>
    <row r="81" spans="1:11" s="1" customFormat="1" ht="30" x14ac:dyDescent="0.2">
      <c r="A81" s="7">
        <v>72</v>
      </c>
      <c r="B81" s="38">
        <v>44933</v>
      </c>
      <c r="C81" s="9">
        <v>64912</v>
      </c>
      <c r="D81" s="9" t="s">
        <v>1825</v>
      </c>
      <c r="E81" s="9" t="s">
        <v>760</v>
      </c>
      <c r="F81" s="9" t="s">
        <v>208</v>
      </c>
      <c r="G81" s="54">
        <v>264.60000000000002</v>
      </c>
      <c r="H81" s="54">
        <f>24+24</f>
        <v>48</v>
      </c>
      <c r="I81" s="54">
        <f t="shared" si="4"/>
        <v>312.60000000000002</v>
      </c>
      <c r="J81" s="58" t="e">
        <f>+#REF!+#REF!+#REF!+#REF!-0.6</f>
        <v>#REF!</v>
      </c>
      <c r="K81" s="8">
        <v>44980</v>
      </c>
    </row>
    <row r="82" spans="1:11" s="1" customFormat="1" ht="75" x14ac:dyDescent="0.2">
      <c r="A82" s="7">
        <v>73</v>
      </c>
      <c r="B82" s="38">
        <v>44935</v>
      </c>
      <c r="C82" s="9" t="s">
        <v>763</v>
      </c>
      <c r="D82" s="9" t="s">
        <v>1825</v>
      </c>
      <c r="E82" s="9" t="s">
        <v>764</v>
      </c>
      <c r="F82" s="9" t="s">
        <v>151</v>
      </c>
      <c r="G82" s="54">
        <f>2275+410</f>
        <v>2685</v>
      </c>
      <c r="H82" s="54">
        <v>0</v>
      </c>
      <c r="I82" s="54">
        <f t="shared" si="4"/>
        <v>2685</v>
      </c>
      <c r="J82" s="58" t="e">
        <f>+#REF!+#REF!+#REF!+#REF!</f>
        <v>#REF!</v>
      </c>
      <c r="K82" s="8">
        <v>44980</v>
      </c>
    </row>
    <row r="83" spans="1:11" s="1" customFormat="1" ht="45" x14ac:dyDescent="0.2">
      <c r="A83" s="7">
        <v>74</v>
      </c>
      <c r="B83" s="38">
        <v>44936</v>
      </c>
      <c r="C83" s="9" t="s">
        <v>765</v>
      </c>
      <c r="D83" s="9" t="s">
        <v>1825</v>
      </c>
      <c r="E83" s="9" t="s">
        <v>766</v>
      </c>
      <c r="F83" s="9" t="s">
        <v>447</v>
      </c>
      <c r="G83" s="54">
        <v>2907</v>
      </c>
      <c r="H83" s="54">
        <f>262+262</f>
        <v>524</v>
      </c>
      <c r="I83" s="54">
        <f t="shared" si="4"/>
        <v>3431</v>
      </c>
      <c r="J83" s="58" t="e">
        <f>+#REF!+#REF!+#REF!+#REF!-1</f>
        <v>#REF!</v>
      </c>
      <c r="K83" s="8">
        <v>44980</v>
      </c>
    </row>
    <row r="84" spans="1:11" s="1" customFormat="1" ht="30" x14ac:dyDescent="0.2">
      <c r="A84" s="7">
        <v>75</v>
      </c>
      <c r="B84" s="38">
        <v>44940</v>
      </c>
      <c r="C84" s="9" t="s">
        <v>767</v>
      </c>
      <c r="D84" s="9" t="s">
        <v>1825</v>
      </c>
      <c r="E84" s="9" t="s">
        <v>768</v>
      </c>
      <c r="F84" s="9" t="s">
        <v>447</v>
      </c>
      <c r="G84" s="54">
        <v>522.72</v>
      </c>
      <c r="H84" s="54">
        <f>47+47</f>
        <v>94</v>
      </c>
      <c r="I84" s="54">
        <f t="shared" si="4"/>
        <v>616.72</v>
      </c>
      <c r="J84" s="58" t="e">
        <f>+#REF!+#REF!+#REF!+#REF!+0.28</f>
        <v>#REF!</v>
      </c>
      <c r="K84" s="8">
        <v>44980</v>
      </c>
    </row>
    <row r="85" spans="1:11" s="1" customFormat="1" ht="30" x14ac:dyDescent="0.2">
      <c r="A85" s="7">
        <v>76</v>
      </c>
      <c r="B85" s="38">
        <v>44930</v>
      </c>
      <c r="C85" s="9" t="s">
        <v>476</v>
      </c>
      <c r="D85" s="9" t="s">
        <v>1825</v>
      </c>
      <c r="E85" s="9" t="s">
        <v>781</v>
      </c>
      <c r="F85" s="9" t="s">
        <v>782</v>
      </c>
      <c r="G85" s="54">
        <v>2200</v>
      </c>
      <c r="H85" s="54">
        <v>0</v>
      </c>
      <c r="I85" s="54">
        <f t="shared" si="4"/>
        <v>2200</v>
      </c>
      <c r="J85" s="58" t="e">
        <f>+#REF!+#REF!+#REF!+#REF!</f>
        <v>#REF!</v>
      </c>
      <c r="K85" s="8">
        <v>44930</v>
      </c>
    </row>
    <row r="86" spans="1:11" s="1" customFormat="1" ht="30" x14ac:dyDescent="0.2">
      <c r="A86" s="7">
        <v>77</v>
      </c>
      <c r="B86" s="38">
        <v>44943</v>
      </c>
      <c r="C86" s="9" t="s">
        <v>795</v>
      </c>
      <c r="D86" s="9" t="s">
        <v>1825</v>
      </c>
      <c r="E86" s="9" t="s">
        <v>796</v>
      </c>
      <c r="F86" s="9" t="s">
        <v>426</v>
      </c>
      <c r="G86" s="54">
        <v>95060</v>
      </c>
      <c r="H86" s="54">
        <f>8555+8555</f>
        <v>17110</v>
      </c>
      <c r="I86" s="54">
        <f t="shared" si="4"/>
        <v>112170</v>
      </c>
      <c r="J86" s="58" t="e">
        <f>+#REF!+#REF!+#REF!+#REF!</f>
        <v>#REF!</v>
      </c>
      <c r="K86" s="8">
        <v>44967</v>
      </c>
    </row>
    <row r="87" spans="1:11" s="1" customFormat="1" ht="45" x14ac:dyDescent="0.2">
      <c r="A87" s="7">
        <v>78</v>
      </c>
      <c r="B87" s="38">
        <v>44930</v>
      </c>
      <c r="C87" s="9" t="s">
        <v>799</v>
      </c>
      <c r="D87" s="9" t="s">
        <v>1825</v>
      </c>
      <c r="E87" s="9" t="s">
        <v>800</v>
      </c>
      <c r="F87" s="9" t="s">
        <v>158</v>
      </c>
      <c r="G87" s="54">
        <v>1780</v>
      </c>
      <c r="H87" s="54">
        <v>0</v>
      </c>
      <c r="I87" s="54">
        <f t="shared" si="4"/>
        <v>1780</v>
      </c>
      <c r="J87" s="58" t="e">
        <f>+#REF!+#REF!+#REF!+#REF!</f>
        <v>#REF!</v>
      </c>
      <c r="K87" s="8">
        <v>44930</v>
      </c>
    </row>
    <row r="88" spans="1:11" s="1" customFormat="1" ht="60" x14ac:dyDescent="0.2">
      <c r="A88" s="7">
        <v>79</v>
      </c>
      <c r="B88" s="38">
        <v>44931</v>
      </c>
      <c r="C88" s="9" t="s">
        <v>802</v>
      </c>
      <c r="D88" s="9" t="s">
        <v>1825</v>
      </c>
      <c r="E88" s="9" t="s">
        <v>803</v>
      </c>
      <c r="F88" s="9" t="s">
        <v>801</v>
      </c>
      <c r="G88" s="54">
        <v>21000</v>
      </c>
      <c r="H88" s="54">
        <v>0</v>
      </c>
      <c r="I88" s="54">
        <f t="shared" si="4"/>
        <v>21000</v>
      </c>
      <c r="J88" s="58" t="e">
        <f>+#REF!+#REF!+#REF!+#REF!</f>
        <v>#REF!</v>
      </c>
      <c r="K88" s="8">
        <v>44826</v>
      </c>
    </row>
    <row r="89" spans="1:11" s="1" customFormat="1" ht="45" x14ac:dyDescent="0.2">
      <c r="A89" s="7">
        <v>80</v>
      </c>
      <c r="B89" s="38">
        <v>44940</v>
      </c>
      <c r="C89" s="9" t="s">
        <v>813</v>
      </c>
      <c r="D89" s="9" t="s">
        <v>1825</v>
      </c>
      <c r="E89" s="9" t="s">
        <v>812</v>
      </c>
      <c r="F89" s="9" t="s">
        <v>814</v>
      </c>
      <c r="G89" s="54">
        <v>2100</v>
      </c>
      <c r="H89" s="54">
        <v>0</v>
      </c>
      <c r="I89" s="54">
        <f t="shared" si="4"/>
        <v>2100</v>
      </c>
      <c r="J89" s="58" t="e">
        <f>+#REF!+#REF!+#REF!+#REF!</f>
        <v>#REF!</v>
      </c>
      <c r="K89" s="8">
        <v>44940</v>
      </c>
    </row>
    <row r="90" spans="1:11" s="1" customFormat="1" ht="30" x14ac:dyDescent="0.2">
      <c r="A90" s="7">
        <v>81</v>
      </c>
      <c r="B90" s="38">
        <v>44940</v>
      </c>
      <c r="C90" s="9" t="s">
        <v>923</v>
      </c>
      <c r="D90" s="9" t="s">
        <v>1825</v>
      </c>
      <c r="E90" s="9" t="s">
        <v>924</v>
      </c>
      <c r="F90" s="9" t="s">
        <v>464</v>
      </c>
      <c r="G90" s="54">
        <v>-2100</v>
      </c>
      <c r="H90" s="54">
        <v>0</v>
      </c>
      <c r="I90" s="54">
        <f t="shared" si="4"/>
        <v>-2100</v>
      </c>
      <c r="J90" s="58" t="e">
        <f>+#REF!+#REF!+#REF!+#REF!</f>
        <v>#REF!</v>
      </c>
      <c r="K90" s="58"/>
    </row>
    <row r="91" spans="1:11" s="1" customFormat="1" ht="45" x14ac:dyDescent="0.2">
      <c r="A91" s="7">
        <v>82</v>
      </c>
      <c r="B91" s="38">
        <v>44943</v>
      </c>
      <c r="C91" s="9" t="s">
        <v>820</v>
      </c>
      <c r="D91" s="9" t="s">
        <v>1825</v>
      </c>
      <c r="E91" s="9" t="s">
        <v>821</v>
      </c>
      <c r="F91" s="9" t="s">
        <v>158</v>
      </c>
      <c r="G91" s="54">
        <v>1500</v>
      </c>
      <c r="H91" s="54">
        <v>0</v>
      </c>
      <c r="I91" s="54">
        <f t="shared" si="4"/>
        <v>1500</v>
      </c>
      <c r="J91" s="58" t="e">
        <f>+#REF!+#REF!+#REF!+#REF!</f>
        <v>#REF!</v>
      </c>
      <c r="K91" s="8">
        <v>44954</v>
      </c>
    </row>
    <row r="92" spans="1:11" s="1" customFormat="1" ht="75" x14ac:dyDescent="0.2">
      <c r="A92" s="7">
        <v>83</v>
      </c>
      <c r="B92" s="38">
        <v>44943</v>
      </c>
      <c r="C92" s="9" t="s">
        <v>822</v>
      </c>
      <c r="D92" s="9" t="s">
        <v>1825</v>
      </c>
      <c r="E92" s="9" t="s">
        <v>823</v>
      </c>
      <c r="F92" s="9" t="s">
        <v>441</v>
      </c>
      <c r="G92" s="54">
        <v>14640</v>
      </c>
      <c r="H92" s="54">
        <f>1318+1318</f>
        <v>2636</v>
      </c>
      <c r="I92" s="54">
        <f t="shared" si="4"/>
        <v>17276</v>
      </c>
      <c r="J92" s="58" t="e">
        <f>+#REF!+#REF!+#REF!+#REF!-1</f>
        <v>#REF!</v>
      </c>
      <c r="K92" s="8">
        <v>44980</v>
      </c>
    </row>
    <row r="93" spans="1:11" s="1" customFormat="1" ht="45" x14ac:dyDescent="0.2">
      <c r="A93" s="7">
        <v>84</v>
      </c>
      <c r="B93" s="38">
        <v>44943</v>
      </c>
      <c r="C93" s="9" t="s">
        <v>824</v>
      </c>
      <c r="D93" s="9" t="s">
        <v>1825</v>
      </c>
      <c r="E93" s="9" t="s">
        <v>825</v>
      </c>
      <c r="F93" s="9" t="s">
        <v>441</v>
      </c>
      <c r="G93" s="54">
        <v>4700</v>
      </c>
      <c r="H93" s="54">
        <f>423+423</f>
        <v>846</v>
      </c>
      <c r="I93" s="54">
        <f t="shared" si="4"/>
        <v>5546</v>
      </c>
      <c r="J93" s="58" t="e">
        <f>+#REF!+#REF!+#REF!+#REF!</f>
        <v>#REF!</v>
      </c>
      <c r="K93" s="8">
        <v>44980</v>
      </c>
    </row>
    <row r="94" spans="1:11" s="1" customFormat="1" ht="60" x14ac:dyDescent="0.2">
      <c r="A94" s="7">
        <v>85</v>
      </c>
      <c r="B94" s="38">
        <v>44947</v>
      </c>
      <c r="C94" s="9" t="s">
        <v>840</v>
      </c>
      <c r="D94" s="9" t="s">
        <v>1825</v>
      </c>
      <c r="E94" s="9" t="s">
        <v>839</v>
      </c>
      <c r="F94" s="9" t="s">
        <v>441</v>
      </c>
      <c r="G94" s="54">
        <v>16650</v>
      </c>
      <c r="H94" s="54">
        <f>1499+1499</f>
        <v>2998</v>
      </c>
      <c r="I94" s="54">
        <f t="shared" ref="I94:I137" si="5">+G94+H94</f>
        <v>19648</v>
      </c>
      <c r="J94" s="58" t="e">
        <f>+#REF!+#REF!+#REF!+#REF!-1</f>
        <v>#REF!</v>
      </c>
      <c r="K94" s="8">
        <v>44980</v>
      </c>
    </row>
    <row r="95" spans="1:11" s="1" customFormat="1" ht="60" x14ac:dyDescent="0.2">
      <c r="A95" s="7">
        <v>86</v>
      </c>
      <c r="B95" s="38">
        <v>44947</v>
      </c>
      <c r="C95" s="9" t="s">
        <v>476</v>
      </c>
      <c r="D95" s="9" t="s">
        <v>1825</v>
      </c>
      <c r="E95" s="9" t="s">
        <v>921</v>
      </c>
      <c r="F95" s="9" t="s">
        <v>464</v>
      </c>
      <c r="G95" s="54">
        <v>0</v>
      </c>
      <c r="H95" s="54">
        <v>0</v>
      </c>
      <c r="I95" s="54">
        <f t="shared" si="5"/>
        <v>0</v>
      </c>
      <c r="J95" s="58" t="e">
        <f>+#REF!+#REF!+#REF!+#REF!</f>
        <v>#REF!</v>
      </c>
      <c r="K95" s="8">
        <v>44947</v>
      </c>
    </row>
    <row r="96" spans="1:11" s="1" customFormat="1" ht="75" x14ac:dyDescent="0.2">
      <c r="A96" s="7">
        <v>87</v>
      </c>
      <c r="B96" s="38">
        <v>44956</v>
      </c>
      <c r="C96" s="9" t="s">
        <v>476</v>
      </c>
      <c r="D96" s="9" t="s">
        <v>1825</v>
      </c>
      <c r="E96" s="9" t="s">
        <v>922</v>
      </c>
      <c r="F96" s="9" t="s">
        <v>464</v>
      </c>
      <c r="G96" s="54">
        <v>0</v>
      </c>
      <c r="H96" s="54">
        <v>0</v>
      </c>
      <c r="I96" s="54">
        <f t="shared" si="5"/>
        <v>0</v>
      </c>
      <c r="J96" s="58" t="e">
        <f>+#REF!+#REF!+#REF!+#REF!</f>
        <v>#REF!</v>
      </c>
      <c r="K96" s="8">
        <v>44956</v>
      </c>
    </row>
    <row r="97" spans="1:13" s="1" customFormat="1" ht="30" x14ac:dyDescent="0.2">
      <c r="A97" s="7">
        <v>88</v>
      </c>
      <c r="B97" s="38">
        <v>44956</v>
      </c>
      <c r="C97" s="9" t="s">
        <v>857</v>
      </c>
      <c r="D97" s="9" t="s">
        <v>1825</v>
      </c>
      <c r="E97" s="9" t="s">
        <v>858</v>
      </c>
      <c r="F97" s="9" t="s">
        <v>426</v>
      </c>
      <c r="G97" s="54">
        <v>104728.68</v>
      </c>
      <c r="H97" s="54">
        <f>9426+9426</f>
        <v>18852</v>
      </c>
      <c r="I97" s="54">
        <f t="shared" si="5"/>
        <v>123580.68</v>
      </c>
      <c r="J97" s="58" t="e">
        <f>+#REF!+#REF!+#REF!+#REF!-0.68</f>
        <v>#REF!</v>
      </c>
      <c r="K97" s="8">
        <v>44967</v>
      </c>
    </row>
    <row r="98" spans="1:13" s="1" customFormat="1" ht="45" x14ac:dyDescent="0.2">
      <c r="A98" s="7">
        <v>89</v>
      </c>
      <c r="B98" s="38">
        <v>44956</v>
      </c>
      <c r="C98" s="9" t="s">
        <v>859</v>
      </c>
      <c r="D98" s="9" t="s">
        <v>1825</v>
      </c>
      <c r="E98" s="9" t="s">
        <v>860</v>
      </c>
      <c r="F98" s="9" t="s">
        <v>158</v>
      </c>
      <c r="G98" s="54">
        <v>6510</v>
      </c>
      <c r="H98" s="54">
        <v>0</v>
      </c>
      <c r="I98" s="54">
        <f t="shared" si="5"/>
        <v>6510</v>
      </c>
      <c r="J98" s="58" t="e">
        <f>+#REF!+#REF!+#REF!+#REF!</f>
        <v>#REF!</v>
      </c>
      <c r="K98" s="8">
        <v>44970</v>
      </c>
    </row>
    <row r="99" spans="1:13" s="1" customFormat="1" ht="45" x14ac:dyDescent="0.2">
      <c r="A99" s="7">
        <v>90</v>
      </c>
      <c r="B99" s="38">
        <v>44956</v>
      </c>
      <c r="C99" s="9" t="s">
        <v>861</v>
      </c>
      <c r="D99" s="9" t="s">
        <v>1825</v>
      </c>
      <c r="E99" s="9" t="s">
        <v>862</v>
      </c>
      <c r="F99" s="9" t="s">
        <v>158</v>
      </c>
      <c r="G99" s="54">
        <v>8610</v>
      </c>
      <c r="H99" s="54">
        <v>0</v>
      </c>
      <c r="I99" s="54">
        <f t="shared" si="5"/>
        <v>8610</v>
      </c>
      <c r="J99" s="58" t="e">
        <f>+#REF!+#REF!+#REF!+#REF!</f>
        <v>#REF!</v>
      </c>
      <c r="K99" s="8">
        <v>44970</v>
      </c>
    </row>
    <row r="100" spans="1:13" s="1" customFormat="1" ht="45" x14ac:dyDescent="0.2">
      <c r="A100" s="7">
        <v>91</v>
      </c>
      <c r="B100" s="38">
        <v>44957</v>
      </c>
      <c r="C100" s="9" t="s">
        <v>867</v>
      </c>
      <c r="D100" s="9" t="s">
        <v>1825</v>
      </c>
      <c r="E100" s="9" t="s">
        <v>868</v>
      </c>
      <c r="F100" s="9" t="s">
        <v>447</v>
      </c>
      <c r="G100" s="54">
        <v>914.9</v>
      </c>
      <c r="H100" s="54">
        <f>82+82</f>
        <v>164</v>
      </c>
      <c r="I100" s="54">
        <f t="shared" si="5"/>
        <v>1078.9000000000001</v>
      </c>
      <c r="J100" s="58" t="e">
        <f>+#REF!+#REF!+#REF!+#REF!+1.1</f>
        <v>#REF!</v>
      </c>
      <c r="K100" s="8">
        <v>44980</v>
      </c>
    </row>
    <row r="101" spans="1:13" s="1" customFormat="1" ht="30" x14ac:dyDescent="0.2">
      <c r="A101" s="7">
        <v>92</v>
      </c>
      <c r="B101" s="38">
        <v>44960</v>
      </c>
      <c r="C101" s="9"/>
      <c r="D101" s="9" t="s">
        <v>1825</v>
      </c>
      <c r="E101" s="9" t="s">
        <v>1016</v>
      </c>
      <c r="F101" s="9" t="s">
        <v>106</v>
      </c>
      <c r="G101" s="54">
        <v>3542</v>
      </c>
      <c r="H101" s="54">
        <v>0</v>
      </c>
      <c r="I101" s="54">
        <f t="shared" si="5"/>
        <v>3542</v>
      </c>
      <c r="J101" s="58" t="e">
        <f>+#REF!+#REF!+#REF!+#REF!</f>
        <v>#REF!</v>
      </c>
      <c r="K101" s="8">
        <v>44960</v>
      </c>
    </row>
    <row r="102" spans="1:13" s="1" customFormat="1" ht="30" x14ac:dyDescent="0.2">
      <c r="A102" s="7">
        <v>93</v>
      </c>
      <c r="B102" s="38">
        <v>44961</v>
      </c>
      <c r="C102" s="9">
        <v>274</v>
      </c>
      <c r="D102" s="9" t="s">
        <v>1825</v>
      </c>
      <c r="E102" s="9" t="s">
        <v>878</v>
      </c>
      <c r="F102" s="9" t="s">
        <v>86</v>
      </c>
      <c r="G102" s="54">
        <v>55454</v>
      </c>
      <c r="H102" s="54">
        <f>4991+4991</f>
        <v>9982</v>
      </c>
      <c r="I102" s="54">
        <f t="shared" si="5"/>
        <v>65436</v>
      </c>
      <c r="J102" s="58" t="e">
        <f>+#REF!+#REF!+#REF!+#REF!</f>
        <v>#REF!</v>
      </c>
      <c r="K102" s="8">
        <v>44981</v>
      </c>
    </row>
    <row r="103" spans="1:13" s="1" customFormat="1" ht="45" x14ac:dyDescent="0.2">
      <c r="A103" s="7">
        <v>94</v>
      </c>
      <c r="B103" s="38">
        <v>44972</v>
      </c>
      <c r="C103" s="9" t="s">
        <v>7</v>
      </c>
      <c r="D103" s="9" t="s">
        <v>1825</v>
      </c>
      <c r="E103" s="9" t="s">
        <v>883</v>
      </c>
      <c r="F103" s="9" t="s">
        <v>46</v>
      </c>
      <c r="G103" s="54">
        <v>0</v>
      </c>
      <c r="H103" s="54">
        <v>0</v>
      </c>
      <c r="I103" s="54">
        <f t="shared" si="5"/>
        <v>0</v>
      </c>
      <c r="J103" s="58" t="e">
        <f>+#REF!+#REF!+#REF!+#REF!</f>
        <v>#REF!</v>
      </c>
      <c r="K103" s="58"/>
      <c r="L103" s="55"/>
      <c r="M103" s="55"/>
    </row>
    <row r="104" spans="1:13" s="1" customFormat="1" ht="30" x14ac:dyDescent="0.2">
      <c r="A104" s="7">
        <v>95</v>
      </c>
      <c r="B104" s="38">
        <v>44972</v>
      </c>
      <c r="C104" s="9" t="s">
        <v>895</v>
      </c>
      <c r="D104" s="9" t="s">
        <v>1825</v>
      </c>
      <c r="E104" s="9" t="s">
        <v>896</v>
      </c>
      <c r="F104" s="9" t="s">
        <v>441</v>
      </c>
      <c r="G104" s="54">
        <v>13200</v>
      </c>
      <c r="H104" s="54">
        <f>1188+1188</f>
        <v>2376</v>
      </c>
      <c r="I104" s="54">
        <f t="shared" si="5"/>
        <v>15576</v>
      </c>
      <c r="J104" s="58" t="e">
        <f>+#REF!+#REF!+#REF!+#REF!</f>
        <v>#REF!</v>
      </c>
      <c r="K104" s="8">
        <v>45008</v>
      </c>
    </row>
    <row r="105" spans="1:13" s="1" customFormat="1" ht="45" x14ac:dyDescent="0.2">
      <c r="A105" s="7">
        <v>96</v>
      </c>
      <c r="B105" s="38">
        <v>44974</v>
      </c>
      <c r="C105" s="9" t="s">
        <v>955</v>
      </c>
      <c r="D105" s="9" t="s">
        <v>1825</v>
      </c>
      <c r="E105" s="9" t="s">
        <v>956</v>
      </c>
      <c r="F105" s="9" t="s">
        <v>43</v>
      </c>
      <c r="G105" s="54">
        <v>4406.78</v>
      </c>
      <c r="H105" s="54">
        <f>397+397</f>
        <v>794</v>
      </c>
      <c r="I105" s="54">
        <f t="shared" si="5"/>
        <v>5200.78</v>
      </c>
      <c r="J105" s="58" t="e">
        <f>+#REF!+#REF!+#REF!+#REF!-0.78</f>
        <v>#REF!</v>
      </c>
      <c r="K105" s="8">
        <v>45008</v>
      </c>
    </row>
    <row r="106" spans="1:13" s="1" customFormat="1" ht="45" x14ac:dyDescent="0.2">
      <c r="A106" s="7">
        <v>97</v>
      </c>
      <c r="B106" s="38">
        <v>44982</v>
      </c>
      <c r="C106" s="9">
        <v>301</v>
      </c>
      <c r="D106" s="9" t="s">
        <v>1825</v>
      </c>
      <c r="E106" s="9" t="s">
        <v>959</v>
      </c>
      <c r="F106" s="9" t="s">
        <v>86</v>
      </c>
      <c r="G106" s="54">
        <v>81000</v>
      </c>
      <c r="H106" s="54">
        <f>7290+7290</f>
        <v>14580</v>
      </c>
      <c r="I106" s="54">
        <f t="shared" si="5"/>
        <v>95580</v>
      </c>
      <c r="J106" s="58" t="e">
        <f>+#REF!+#REF!+#REF!+#REF!</f>
        <v>#REF!</v>
      </c>
      <c r="K106" s="8">
        <v>44998</v>
      </c>
    </row>
    <row r="107" spans="1:13" s="1" customFormat="1" ht="45" x14ac:dyDescent="0.2">
      <c r="A107" s="7">
        <v>98</v>
      </c>
      <c r="B107" s="38">
        <v>44982</v>
      </c>
      <c r="C107" s="9"/>
      <c r="D107" s="9" t="s">
        <v>1825</v>
      </c>
      <c r="E107" s="9" t="s">
        <v>1026</v>
      </c>
      <c r="F107" s="9" t="s">
        <v>106</v>
      </c>
      <c r="G107" s="54">
        <v>3082</v>
      </c>
      <c r="H107" s="54">
        <v>0</v>
      </c>
      <c r="I107" s="54">
        <f t="shared" si="5"/>
        <v>3082</v>
      </c>
      <c r="J107" s="58" t="e">
        <f>+#REF!+#REF!+#REF!+#REF!</f>
        <v>#REF!</v>
      </c>
      <c r="K107" s="8">
        <v>44982</v>
      </c>
    </row>
    <row r="108" spans="1:13" s="1" customFormat="1" ht="75" x14ac:dyDescent="0.2">
      <c r="A108" s="7">
        <v>99</v>
      </c>
      <c r="B108" s="38">
        <v>44985</v>
      </c>
      <c r="C108" s="9" t="s">
        <v>1024</v>
      </c>
      <c r="D108" s="9" t="s">
        <v>1825</v>
      </c>
      <c r="E108" s="9" t="s">
        <v>1025</v>
      </c>
      <c r="F108" s="9" t="s">
        <v>447</v>
      </c>
      <c r="G108" s="54">
        <v>48605.2</v>
      </c>
      <c r="H108" s="54">
        <f>4374+4374</f>
        <v>8748</v>
      </c>
      <c r="I108" s="54">
        <f t="shared" si="5"/>
        <v>57353.2</v>
      </c>
      <c r="J108" s="58" t="e">
        <f>+#REF!+#REF!+#REF!+#REF!+0.8</f>
        <v>#REF!</v>
      </c>
      <c r="K108" s="8">
        <v>45008</v>
      </c>
    </row>
    <row r="109" spans="1:13" s="1" customFormat="1" ht="30" x14ac:dyDescent="0.2">
      <c r="A109" s="7">
        <v>100</v>
      </c>
      <c r="B109" s="38">
        <v>44988</v>
      </c>
      <c r="C109" s="9" t="s">
        <v>1031</v>
      </c>
      <c r="D109" s="9" t="s">
        <v>1825</v>
      </c>
      <c r="E109" s="9" t="s">
        <v>1032</v>
      </c>
      <c r="F109" s="9" t="s">
        <v>441</v>
      </c>
      <c r="G109" s="54">
        <v>13200</v>
      </c>
      <c r="H109" s="54">
        <f>1188+1188</f>
        <v>2376</v>
      </c>
      <c r="I109" s="54">
        <f t="shared" si="5"/>
        <v>15576</v>
      </c>
      <c r="J109" s="58" t="e">
        <f>+#REF!+#REF!+#REF!+#REF!</f>
        <v>#REF!</v>
      </c>
      <c r="K109" s="8">
        <v>45043</v>
      </c>
    </row>
    <row r="110" spans="1:13" s="1" customFormat="1" ht="90" x14ac:dyDescent="0.2">
      <c r="A110" s="7">
        <v>101</v>
      </c>
      <c r="B110" s="38">
        <v>45005</v>
      </c>
      <c r="C110" s="9" t="s">
        <v>1074</v>
      </c>
      <c r="D110" s="9" t="s">
        <v>1825</v>
      </c>
      <c r="E110" s="9" t="s">
        <v>1075</v>
      </c>
      <c r="F110" s="9" t="s">
        <v>441</v>
      </c>
      <c r="G110" s="54">
        <v>3250</v>
      </c>
      <c r="H110" s="54">
        <f>293+293</f>
        <v>586</v>
      </c>
      <c r="I110" s="54">
        <f t="shared" si="5"/>
        <v>3836</v>
      </c>
      <c r="J110" s="58" t="e">
        <f>+#REF!+#REF!+#REF!+#REF!</f>
        <v>#REF!</v>
      </c>
      <c r="K110" s="8">
        <v>45043</v>
      </c>
    </row>
    <row r="111" spans="1:13" s="1" customFormat="1" ht="45" x14ac:dyDescent="0.2">
      <c r="A111" s="7">
        <v>102</v>
      </c>
      <c r="B111" s="38">
        <v>45009</v>
      </c>
      <c r="C111" s="9" t="s">
        <v>1076</v>
      </c>
      <c r="D111" s="9" t="s">
        <v>1825</v>
      </c>
      <c r="E111" s="9" t="s">
        <v>1077</v>
      </c>
      <c r="F111" s="9" t="s">
        <v>43</v>
      </c>
      <c r="G111" s="54">
        <v>826.26</v>
      </c>
      <c r="H111" s="54">
        <f>74+74</f>
        <v>148</v>
      </c>
      <c r="I111" s="54">
        <f t="shared" si="5"/>
        <v>974.26</v>
      </c>
      <c r="J111" s="58" t="e">
        <f>+#REF!+#REF!+#REF!+#REF!+0.74</f>
        <v>#REF!</v>
      </c>
      <c r="K111" s="8">
        <v>45043</v>
      </c>
    </row>
    <row r="112" spans="1:13" s="1" customFormat="1" ht="60" x14ac:dyDescent="0.2">
      <c r="A112" s="7">
        <v>103</v>
      </c>
      <c r="B112" s="38">
        <v>45016</v>
      </c>
      <c r="C112" s="9" t="s">
        <v>1106</v>
      </c>
      <c r="D112" s="9" t="s">
        <v>1825</v>
      </c>
      <c r="E112" s="9" t="s">
        <v>1107</v>
      </c>
      <c r="F112" s="9" t="s">
        <v>151</v>
      </c>
      <c r="G112" s="54">
        <v>9380</v>
      </c>
      <c r="H112" s="54">
        <f>844+844</f>
        <v>1688</v>
      </c>
      <c r="I112" s="54">
        <f t="shared" si="5"/>
        <v>11068</v>
      </c>
      <c r="J112" s="58" t="e">
        <f>+#REF!+#REF!+#REF!+#REF!</f>
        <v>#REF!</v>
      </c>
      <c r="K112" s="8">
        <v>45044</v>
      </c>
    </row>
    <row r="113" spans="1:11" s="1" customFormat="1" ht="90" x14ac:dyDescent="0.2">
      <c r="A113" s="7">
        <v>104</v>
      </c>
      <c r="B113" s="38">
        <v>45020</v>
      </c>
      <c r="C113" s="9" t="s">
        <v>1178</v>
      </c>
      <c r="D113" s="9" t="s">
        <v>1825</v>
      </c>
      <c r="E113" s="9" t="s">
        <v>1179</v>
      </c>
      <c r="F113" s="9" t="s">
        <v>39</v>
      </c>
      <c r="G113" s="54">
        <v>125450</v>
      </c>
      <c r="H113" s="54">
        <f>11291+11291</f>
        <v>22582</v>
      </c>
      <c r="I113" s="54">
        <f t="shared" si="5"/>
        <v>148032</v>
      </c>
      <c r="J113" s="58" t="e">
        <f>+#REF!+#REF!+#REF!+#REF!-1</f>
        <v>#REF!</v>
      </c>
      <c r="K113" s="8">
        <v>45056</v>
      </c>
    </row>
    <row r="114" spans="1:11" s="1" customFormat="1" ht="30" x14ac:dyDescent="0.2">
      <c r="A114" s="7">
        <v>105</v>
      </c>
      <c r="B114" s="38">
        <v>45026</v>
      </c>
      <c r="C114" s="9" t="s">
        <v>1306</v>
      </c>
      <c r="D114" s="9" t="s">
        <v>1825</v>
      </c>
      <c r="E114" s="9" t="s">
        <v>1307</v>
      </c>
      <c r="F114" s="9" t="s">
        <v>46</v>
      </c>
      <c r="G114" s="54">
        <v>250000</v>
      </c>
      <c r="H114" s="54">
        <f>22500+22500</f>
        <v>45000</v>
      </c>
      <c r="I114" s="54">
        <f t="shared" si="5"/>
        <v>295000</v>
      </c>
      <c r="J114" s="58" t="e">
        <f>+#REF!+#REF!+#REF!+#REF!</f>
        <v>#REF!</v>
      </c>
      <c r="K114" s="8">
        <v>45131</v>
      </c>
    </row>
    <row r="115" spans="1:11" s="1" customFormat="1" ht="30" x14ac:dyDescent="0.2">
      <c r="A115" s="7">
        <v>106</v>
      </c>
      <c r="B115" s="38">
        <v>45035</v>
      </c>
      <c r="C115" s="9" t="s">
        <v>7</v>
      </c>
      <c r="D115" s="9" t="s">
        <v>1825</v>
      </c>
      <c r="E115" s="9" t="s">
        <v>1813</v>
      </c>
      <c r="F115" s="9" t="s">
        <v>464</v>
      </c>
      <c r="G115" s="54">
        <v>0</v>
      </c>
      <c r="H115" s="54">
        <v>0</v>
      </c>
      <c r="I115" s="54">
        <f t="shared" si="5"/>
        <v>0</v>
      </c>
      <c r="J115" s="58" t="e">
        <f>+#REF!+#REF!+#REF!+#REF!</f>
        <v>#REF!</v>
      </c>
      <c r="K115" s="58"/>
    </row>
    <row r="116" spans="1:11" s="1" customFormat="1" ht="30" x14ac:dyDescent="0.2">
      <c r="A116" s="7">
        <v>107</v>
      </c>
      <c r="B116" s="38">
        <v>45045</v>
      </c>
      <c r="C116" s="9"/>
      <c r="D116" s="9" t="s">
        <v>1825</v>
      </c>
      <c r="E116" s="9" t="s">
        <v>1382</v>
      </c>
      <c r="F116" s="9" t="s">
        <v>814</v>
      </c>
      <c r="G116" s="54">
        <v>1300</v>
      </c>
      <c r="H116" s="54">
        <v>0</v>
      </c>
      <c r="I116" s="54">
        <f t="shared" si="5"/>
        <v>1300</v>
      </c>
      <c r="J116" s="58" t="e">
        <f>+#REF!+#REF!+#REF!+#REF!</f>
        <v>#REF!</v>
      </c>
      <c r="K116" s="8">
        <v>45045</v>
      </c>
    </row>
    <row r="117" spans="1:11" s="1" customFormat="1" ht="30" x14ac:dyDescent="0.2">
      <c r="A117" s="7">
        <v>108</v>
      </c>
      <c r="B117" s="38">
        <v>45057</v>
      </c>
      <c r="C117" s="9" t="s">
        <v>476</v>
      </c>
      <c r="D117" s="9" t="s">
        <v>1825</v>
      </c>
      <c r="E117" s="9" t="s">
        <v>1522</v>
      </c>
      <c r="F117" s="9" t="s">
        <v>1523</v>
      </c>
      <c r="G117" s="54">
        <v>320</v>
      </c>
      <c r="H117" s="54">
        <v>0</v>
      </c>
      <c r="I117" s="54">
        <f t="shared" si="5"/>
        <v>320</v>
      </c>
      <c r="J117" s="58" t="e">
        <f>+#REF!+#REF!+#REF!+#REF!</f>
        <v>#REF!</v>
      </c>
      <c r="K117" s="8">
        <v>45057</v>
      </c>
    </row>
    <row r="118" spans="1:11" s="1" customFormat="1" ht="60" x14ac:dyDescent="0.2">
      <c r="A118" s="7">
        <v>109</v>
      </c>
      <c r="B118" s="38">
        <v>45131</v>
      </c>
      <c r="C118" s="9" t="s">
        <v>1768</v>
      </c>
      <c r="D118" s="9" t="s">
        <v>1825</v>
      </c>
      <c r="E118" s="9" t="s">
        <v>1769</v>
      </c>
      <c r="F118" s="9" t="s">
        <v>39</v>
      </c>
      <c r="G118" s="54">
        <v>57047.5</v>
      </c>
      <c r="H118" s="54">
        <f>5134+5134</f>
        <v>10268</v>
      </c>
      <c r="I118" s="54">
        <f t="shared" si="5"/>
        <v>67315.5</v>
      </c>
      <c r="J118" s="58" t="e">
        <f>+#REF!+#REF!+#REF!+#REF!+0.5</f>
        <v>#REF!</v>
      </c>
      <c r="K118" s="8">
        <v>45069</v>
      </c>
    </row>
    <row r="119" spans="1:11" s="1" customFormat="1" ht="30" x14ac:dyDescent="0.2">
      <c r="A119" s="7">
        <v>110</v>
      </c>
      <c r="B119" s="38">
        <v>45131</v>
      </c>
      <c r="C119" s="9" t="s">
        <v>1770</v>
      </c>
      <c r="D119" s="9" t="s">
        <v>1825</v>
      </c>
      <c r="E119" s="9" t="s">
        <v>1771</v>
      </c>
      <c r="F119" s="9" t="s">
        <v>116</v>
      </c>
      <c r="G119" s="54">
        <v>14469.8</v>
      </c>
      <c r="H119" s="54">
        <f>1302+1302</f>
        <v>2604</v>
      </c>
      <c r="I119" s="54">
        <f t="shared" si="5"/>
        <v>17073.8</v>
      </c>
      <c r="J119" s="58" t="e">
        <f>+#REF!+#REF!+#REF!+#REF!+0.2</f>
        <v>#REF!</v>
      </c>
      <c r="K119" s="8">
        <v>45190</v>
      </c>
    </row>
    <row r="120" spans="1:11" s="1" customFormat="1" ht="60" x14ac:dyDescent="0.2">
      <c r="A120" s="7">
        <v>111</v>
      </c>
      <c r="B120" s="38">
        <v>45131</v>
      </c>
      <c r="C120" s="9" t="s">
        <v>1772</v>
      </c>
      <c r="D120" s="9" t="s">
        <v>1825</v>
      </c>
      <c r="E120" s="9" t="s">
        <v>1773</v>
      </c>
      <c r="F120" s="9" t="s">
        <v>441</v>
      </c>
      <c r="G120" s="54">
        <v>10238</v>
      </c>
      <c r="H120" s="54">
        <f>921+921</f>
        <v>1842</v>
      </c>
      <c r="I120" s="54">
        <f t="shared" si="5"/>
        <v>12080</v>
      </c>
      <c r="J120" s="58" t="e">
        <f>+#REF!+#REF!+#REF!+#REF!+1</f>
        <v>#REF!</v>
      </c>
      <c r="K120" s="8">
        <v>45194</v>
      </c>
    </row>
    <row r="121" spans="1:11" s="1" customFormat="1" ht="45" x14ac:dyDescent="0.2">
      <c r="A121" s="7">
        <v>112</v>
      </c>
      <c r="B121" s="38">
        <v>45131</v>
      </c>
      <c r="C121" s="9" t="s">
        <v>1774</v>
      </c>
      <c r="D121" s="9" t="s">
        <v>1825</v>
      </c>
      <c r="E121" s="9" t="s">
        <v>1775</v>
      </c>
      <c r="F121" s="9" t="s">
        <v>441</v>
      </c>
      <c r="G121" s="54">
        <v>23030</v>
      </c>
      <c r="H121" s="54">
        <f>2073+2073</f>
        <v>4146</v>
      </c>
      <c r="I121" s="54">
        <f t="shared" si="5"/>
        <v>27176</v>
      </c>
      <c r="J121" s="58" t="e">
        <f>+#REF!+#REF!+#REF!+#REF!-1</f>
        <v>#REF!</v>
      </c>
      <c r="K121" s="8">
        <v>45194</v>
      </c>
    </row>
    <row r="122" spans="1:11" s="1" customFormat="1" ht="45" x14ac:dyDescent="0.2">
      <c r="A122" s="7">
        <v>113</v>
      </c>
      <c r="B122" s="38">
        <v>45134</v>
      </c>
      <c r="C122" s="9" t="s">
        <v>1776</v>
      </c>
      <c r="D122" s="9" t="s">
        <v>1825</v>
      </c>
      <c r="E122" s="9" t="s">
        <v>1777</v>
      </c>
      <c r="F122" s="9" t="s">
        <v>447</v>
      </c>
      <c r="G122" s="54">
        <v>1314</v>
      </c>
      <c r="H122" s="54">
        <f>118+118</f>
        <v>236</v>
      </c>
      <c r="I122" s="54">
        <f t="shared" si="5"/>
        <v>1550</v>
      </c>
      <c r="J122" s="58" t="e">
        <f>+#REF!+#REF!+#REF!+#REF!+1</f>
        <v>#REF!</v>
      </c>
      <c r="K122" s="8">
        <v>45190</v>
      </c>
    </row>
    <row r="123" spans="1:11" s="1" customFormat="1" ht="105" x14ac:dyDescent="0.2">
      <c r="A123" s="7">
        <v>114</v>
      </c>
      <c r="B123" s="38">
        <v>45134</v>
      </c>
      <c r="C123" s="9" t="s">
        <v>1778</v>
      </c>
      <c r="D123" s="9" t="s">
        <v>1825</v>
      </c>
      <c r="E123" s="9" t="s">
        <v>1779</v>
      </c>
      <c r="F123" s="9" t="s">
        <v>447</v>
      </c>
      <c r="G123" s="54">
        <v>9884.16</v>
      </c>
      <c r="H123" s="54">
        <f>890+890</f>
        <v>1780</v>
      </c>
      <c r="I123" s="54">
        <f t="shared" si="5"/>
        <v>11664.16</v>
      </c>
      <c r="J123" s="58" t="e">
        <f>+#REF!+#REF!+#REF!+#REF!-1.16</f>
        <v>#REF!</v>
      </c>
      <c r="K123" s="8">
        <v>45190</v>
      </c>
    </row>
    <row r="124" spans="1:11" s="1" customFormat="1" ht="30" x14ac:dyDescent="0.2">
      <c r="A124" s="7">
        <v>115</v>
      </c>
      <c r="B124" s="38">
        <v>45136</v>
      </c>
      <c r="C124" s="9" t="s">
        <v>7</v>
      </c>
      <c r="D124" s="9" t="s">
        <v>1825</v>
      </c>
      <c r="E124" s="9" t="s">
        <v>1813</v>
      </c>
      <c r="F124" s="9" t="s">
        <v>464</v>
      </c>
      <c r="G124" s="54">
        <v>0</v>
      </c>
      <c r="H124" s="54">
        <v>0</v>
      </c>
      <c r="I124" s="54">
        <f t="shared" si="5"/>
        <v>0</v>
      </c>
      <c r="J124" s="58" t="e">
        <f>+#REF!+#REF!+#REF!+#REF!</f>
        <v>#REF!</v>
      </c>
      <c r="K124" s="58"/>
    </row>
    <row r="125" spans="1:11" s="1" customFormat="1" ht="45" x14ac:dyDescent="0.2">
      <c r="A125" s="7">
        <v>116</v>
      </c>
      <c r="B125" s="38">
        <v>45138</v>
      </c>
      <c r="C125" s="9" t="s">
        <v>1792</v>
      </c>
      <c r="D125" s="9" t="s">
        <v>1825</v>
      </c>
      <c r="E125" s="9" t="s">
        <v>1793</v>
      </c>
      <c r="F125" s="9" t="s">
        <v>426</v>
      </c>
      <c r="G125" s="54">
        <v>4100</v>
      </c>
      <c r="H125" s="54">
        <f>369+369</f>
        <v>738</v>
      </c>
      <c r="I125" s="54">
        <f t="shared" si="5"/>
        <v>4838</v>
      </c>
      <c r="J125" s="58" t="e">
        <f>+#REF!+#REF!+#REF!+#REF!</f>
        <v>#REF!</v>
      </c>
      <c r="K125" s="8">
        <v>45162</v>
      </c>
    </row>
    <row r="126" spans="1:11" s="1" customFormat="1" ht="30" x14ac:dyDescent="0.2">
      <c r="A126" s="7">
        <v>117</v>
      </c>
      <c r="B126" s="38">
        <v>45139</v>
      </c>
      <c r="C126" s="9" t="s">
        <v>476</v>
      </c>
      <c r="D126" s="9" t="s">
        <v>1825</v>
      </c>
      <c r="E126" s="9" t="s">
        <v>1813</v>
      </c>
      <c r="F126" s="9" t="s">
        <v>464</v>
      </c>
      <c r="G126" s="54">
        <v>0</v>
      </c>
      <c r="H126" s="54">
        <v>0</v>
      </c>
      <c r="I126" s="54">
        <f t="shared" si="5"/>
        <v>0</v>
      </c>
      <c r="J126" s="58" t="e">
        <f>+#REF!+#REF!+#REF!+#REF!</f>
        <v>#REF!</v>
      </c>
      <c r="K126" s="58"/>
    </row>
    <row r="127" spans="1:11" s="1" customFormat="1" ht="45" x14ac:dyDescent="0.2">
      <c r="A127" s="7">
        <v>118</v>
      </c>
      <c r="B127" s="38">
        <v>45142</v>
      </c>
      <c r="C127" s="9" t="s">
        <v>1805</v>
      </c>
      <c r="D127" s="9" t="s">
        <v>1825</v>
      </c>
      <c r="E127" s="9" t="s">
        <v>1806</v>
      </c>
      <c r="F127" s="9" t="s">
        <v>447</v>
      </c>
      <c r="G127" s="54">
        <v>7072</v>
      </c>
      <c r="H127" s="54">
        <f>636+636</f>
        <v>1272</v>
      </c>
      <c r="I127" s="54">
        <f t="shared" si="5"/>
        <v>8344</v>
      </c>
      <c r="J127" s="58" t="e">
        <f>+#REF!+#REF!+#REF!+#REF!+1</f>
        <v>#REF!</v>
      </c>
      <c r="K127" s="8">
        <v>45190</v>
      </c>
    </row>
    <row r="128" spans="1:11" s="1" customFormat="1" ht="30" x14ac:dyDescent="0.2">
      <c r="A128" s="7">
        <v>119</v>
      </c>
      <c r="B128" s="38">
        <v>45142</v>
      </c>
      <c r="C128" s="9" t="s">
        <v>1331</v>
      </c>
      <c r="D128" s="9" t="s">
        <v>1825</v>
      </c>
      <c r="E128" s="9" t="s">
        <v>1807</v>
      </c>
      <c r="F128" s="9" t="s">
        <v>116</v>
      </c>
      <c r="G128" s="54">
        <v>5590</v>
      </c>
      <c r="H128" s="54">
        <f>503+503</f>
        <v>1006</v>
      </c>
      <c r="I128" s="54">
        <f t="shared" si="5"/>
        <v>6596</v>
      </c>
      <c r="J128" s="58" t="e">
        <f>+#REF!+#REF!+#REF!+#REF!</f>
        <v>#REF!</v>
      </c>
      <c r="K128" s="8">
        <v>45190</v>
      </c>
    </row>
    <row r="129" spans="1:11" s="1" customFormat="1" ht="90" x14ac:dyDescent="0.2">
      <c r="A129" s="7">
        <v>120</v>
      </c>
      <c r="B129" s="38">
        <v>45148</v>
      </c>
      <c r="C129" s="9" t="s">
        <v>1808</v>
      </c>
      <c r="D129" s="9" t="s">
        <v>1825</v>
      </c>
      <c r="E129" s="9" t="s">
        <v>1809</v>
      </c>
      <c r="F129" s="9" t="s">
        <v>151</v>
      </c>
      <c r="G129" s="54">
        <v>24080</v>
      </c>
      <c r="H129" s="54">
        <f>2167+2167</f>
        <v>4334</v>
      </c>
      <c r="I129" s="54">
        <f t="shared" si="5"/>
        <v>28414</v>
      </c>
      <c r="J129" s="58" t="e">
        <f>+#REF!+#REF!+#REF!+#REF!</f>
        <v>#REF!</v>
      </c>
      <c r="K129" s="8">
        <v>45161</v>
      </c>
    </row>
    <row r="130" spans="1:11" s="1" customFormat="1" ht="45" x14ac:dyDescent="0.2">
      <c r="A130" s="7">
        <v>122</v>
      </c>
      <c r="B130" s="38">
        <v>45159</v>
      </c>
      <c r="C130" s="9" t="s">
        <v>1818</v>
      </c>
      <c r="D130" s="9" t="s">
        <v>1825</v>
      </c>
      <c r="E130" s="9" t="s">
        <v>1819</v>
      </c>
      <c r="F130" s="9" t="s">
        <v>39</v>
      </c>
      <c r="G130" s="54">
        <v>68550</v>
      </c>
      <c r="H130" s="54">
        <f>6170+6170</f>
        <v>12340</v>
      </c>
      <c r="I130" s="54">
        <f t="shared" si="5"/>
        <v>80890</v>
      </c>
      <c r="J130" s="58" t="e">
        <f>+#REF!+#REF!+#REF!+#REF!-1</f>
        <v>#REF!</v>
      </c>
      <c r="K130" s="8">
        <v>45160</v>
      </c>
    </row>
    <row r="131" spans="1:11" s="1" customFormat="1" ht="45" x14ac:dyDescent="0.2">
      <c r="A131" s="7">
        <v>123</v>
      </c>
      <c r="B131" s="38">
        <v>45160</v>
      </c>
      <c r="C131" s="9" t="s">
        <v>1820</v>
      </c>
      <c r="D131" s="9" t="s">
        <v>1825</v>
      </c>
      <c r="E131" s="9" t="s">
        <v>1821</v>
      </c>
      <c r="F131" s="9" t="s">
        <v>1822</v>
      </c>
      <c r="G131" s="54">
        <v>34020</v>
      </c>
      <c r="H131" s="54">
        <f>3062+3062</f>
        <v>6124</v>
      </c>
      <c r="I131" s="54">
        <f t="shared" si="5"/>
        <v>40144</v>
      </c>
      <c r="J131" s="58" t="e">
        <f>+#REF!+#REF!+#REF!+#REF!</f>
        <v>#REF!</v>
      </c>
      <c r="K131" s="8">
        <v>45194</v>
      </c>
    </row>
    <row r="132" spans="1:11" s="1" customFormat="1" ht="30" x14ac:dyDescent="0.2">
      <c r="A132" s="7">
        <v>124</v>
      </c>
      <c r="B132" s="38">
        <v>45160</v>
      </c>
      <c r="C132" s="9">
        <v>3083</v>
      </c>
      <c r="D132" s="9" t="s">
        <v>1825</v>
      </c>
      <c r="E132" s="9" t="s">
        <v>1823</v>
      </c>
      <c r="F132" s="9" t="s">
        <v>1824</v>
      </c>
      <c r="G132" s="54">
        <v>57960</v>
      </c>
      <c r="H132" s="54">
        <f>5216+5216</f>
        <v>10432</v>
      </c>
      <c r="I132" s="54">
        <f t="shared" si="5"/>
        <v>68392</v>
      </c>
      <c r="J132" s="58" t="e">
        <f>+#REF!+#REF!+#REF!+#REF!+1</f>
        <v>#REF!</v>
      </c>
      <c r="K132" s="8">
        <v>45288</v>
      </c>
    </row>
    <row r="133" spans="1:11" s="1" customFormat="1" ht="60" x14ac:dyDescent="0.2">
      <c r="A133" s="7">
        <v>125</v>
      </c>
      <c r="B133" s="38">
        <v>45154</v>
      </c>
      <c r="C133" s="9" t="s">
        <v>1831</v>
      </c>
      <c r="D133" s="9" t="s">
        <v>1825</v>
      </c>
      <c r="E133" s="9" t="s">
        <v>1832</v>
      </c>
      <c r="F133" s="9" t="s">
        <v>778</v>
      </c>
      <c r="G133" s="54">
        <v>28010</v>
      </c>
      <c r="H133" s="54">
        <f>2521+2521</f>
        <v>5042</v>
      </c>
      <c r="I133" s="54">
        <f t="shared" si="5"/>
        <v>33052</v>
      </c>
      <c r="J133" s="58" t="e">
        <f>+#REF!+#REF!+#REF!+#REF!</f>
        <v>#REF!</v>
      </c>
      <c r="K133" s="8">
        <v>45259</v>
      </c>
    </row>
    <row r="134" spans="1:11" s="1" customFormat="1" ht="45" x14ac:dyDescent="0.2">
      <c r="A134" s="7">
        <v>126</v>
      </c>
      <c r="B134" s="38">
        <v>45168</v>
      </c>
      <c r="C134" s="9" t="s">
        <v>1871</v>
      </c>
      <c r="D134" s="9" t="s">
        <v>1825</v>
      </c>
      <c r="E134" s="9" t="s">
        <v>1872</v>
      </c>
      <c r="F134" s="9" t="s">
        <v>151</v>
      </c>
      <c r="G134" s="54">
        <v>26850</v>
      </c>
      <c r="H134" s="54">
        <f>2417+2417</f>
        <v>4834</v>
      </c>
      <c r="I134" s="54">
        <f t="shared" si="5"/>
        <v>31684</v>
      </c>
      <c r="J134" s="58" t="e">
        <f>+#REF!+#REF!+#REF!+#REF!-1</f>
        <v>#REF!</v>
      </c>
      <c r="K134" s="58"/>
    </row>
    <row r="135" spans="1:11" s="1" customFormat="1" ht="45" x14ac:dyDescent="0.2">
      <c r="A135" s="7">
        <v>127</v>
      </c>
      <c r="B135" s="38">
        <v>45175</v>
      </c>
      <c r="C135" s="9">
        <v>3449</v>
      </c>
      <c r="D135" s="9" t="s">
        <v>1825</v>
      </c>
      <c r="E135" s="9" t="s">
        <v>1906</v>
      </c>
      <c r="F135" s="9" t="s">
        <v>1824</v>
      </c>
      <c r="G135" s="54">
        <f>115920-28980</f>
        <v>86940</v>
      </c>
      <c r="H135" s="54">
        <v>15650</v>
      </c>
      <c r="I135" s="54">
        <f t="shared" si="5"/>
        <v>102590</v>
      </c>
      <c r="J135" s="58" t="e">
        <f>+#REF!+#REF!+#REF!+#REF!</f>
        <v>#REF!</v>
      </c>
      <c r="K135" s="58"/>
    </row>
    <row r="136" spans="1:11" s="1" customFormat="1" ht="45" x14ac:dyDescent="0.2">
      <c r="A136" s="7">
        <v>128</v>
      </c>
      <c r="B136" s="38">
        <v>45187</v>
      </c>
      <c r="C136" s="9" t="s">
        <v>1907</v>
      </c>
      <c r="D136" s="9" t="s">
        <v>1825</v>
      </c>
      <c r="E136" s="9" t="s">
        <v>1908</v>
      </c>
      <c r="F136" s="9" t="s">
        <v>464</v>
      </c>
      <c r="G136" s="54">
        <v>1200000</v>
      </c>
      <c r="H136" s="54">
        <v>216000</v>
      </c>
      <c r="I136" s="54">
        <f t="shared" si="5"/>
        <v>1416000</v>
      </c>
      <c r="J136" s="58" t="e">
        <f>+#REF!+#REF!+#REF!+#REF!</f>
        <v>#REF!</v>
      </c>
      <c r="K136" s="8">
        <v>45035</v>
      </c>
    </row>
    <row r="137" spans="1:11" s="1" customFormat="1" ht="30" x14ac:dyDescent="0.2">
      <c r="A137" s="7">
        <v>129</v>
      </c>
      <c r="B137" s="38">
        <v>45322</v>
      </c>
      <c r="C137" s="9" t="s">
        <v>2179</v>
      </c>
      <c r="D137" s="9" t="s">
        <v>1825</v>
      </c>
      <c r="E137" s="9" t="s">
        <v>2180</v>
      </c>
      <c r="F137" s="9" t="s">
        <v>778</v>
      </c>
      <c r="G137" s="54">
        <v>19470</v>
      </c>
      <c r="H137" s="54">
        <f>1752+1752</f>
        <v>3504</v>
      </c>
      <c r="I137" s="54">
        <f t="shared" si="5"/>
        <v>22974</v>
      </c>
      <c r="J137" s="58" t="e">
        <f>+#REF!+#REF!+#REF!+#REF!</f>
        <v>#REF!</v>
      </c>
      <c r="K137" s="58"/>
    </row>
    <row r="138" spans="1:11" s="21" customFormat="1" ht="15.75" x14ac:dyDescent="0.25">
      <c r="A138" s="18"/>
      <c r="B138" s="19"/>
      <c r="C138" s="20"/>
      <c r="D138" s="20"/>
      <c r="E138" s="20"/>
      <c r="F138" s="27" t="s">
        <v>593</v>
      </c>
      <c r="G138" s="24">
        <f t="shared" ref="G138:I138" si="6">SUM(G10:G137)</f>
        <v>25236244.379999995</v>
      </c>
      <c r="H138" s="24">
        <f t="shared" si="6"/>
        <v>4465564</v>
      </c>
      <c r="I138" s="24">
        <f t="shared" si="6"/>
        <v>29701808.379999995</v>
      </c>
      <c r="J138" s="58" t="e">
        <f>+#REF!+#REF!+#REF!+#REF!</f>
        <v>#REF!</v>
      </c>
      <c r="K138" s="58"/>
    </row>
    <row r="139" spans="1:11" s="1" customFormat="1" ht="15.75" x14ac:dyDescent="0.2">
      <c r="A139" s="7"/>
      <c r="B139" s="8"/>
      <c r="C139" s="9"/>
      <c r="D139" s="9"/>
      <c r="E139" s="30" t="s">
        <v>47</v>
      </c>
      <c r="F139" s="9"/>
      <c r="G139" s="10"/>
      <c r="H139" s="11"/>
      <c r="I139" s="11"/>
      <c r="J139" s="58" t="e">
        <f>+#REF!+#REF!+#REF!+#REF!</f>
        <v>#REF!</v>
      </c>
      <c r="K139" s="58"/>
    </row>
    <row r="140" spans="1:11" s="1" customFormat="1" ht="30" x14ac:dyDescent="0.2">
      <c r="A140" s="7">
        <v>1</v>
      </c>
      <c r="B140" s="38">
        <v>44580</v>
      </c>
      <c r="C140" s="9" t="s">
        <v>48</v>
      </c>
      <c r="D140" s="9" t="s">
        <v>47</v>
      </c>
      <c r="E140" s="9" t="s">
        <v>49</v>
      </c>
      <c r="F140" s="9" t="s">
        <v>50</v>
      </c>
      <c r="G140" s="54">
        <v>2700000</v>
      </c>
      <c r="H140" s="54">
        <v>486000</v>
      </c>
      <c r="I140" s="54">
        <f t="shared" ref="I140:I187" si="7">+G140+H140</f>
        <v>3186000</v>
      </c>
      <c r="J140" s="58" t="e">
        <f>+#REF!+#REF!+#REF!+#REF!</f>
        <v>#REF!</v>
      </c>
      <c r="K140" s="58" t="s">
        <v>1998</v>
      </c>
    </row>
    <row r="141" spans="1:11" s="1" customFormat="1" ht="60" x14ac:dyDescent="0.2">
      <c r="A141" s="7">
        <v>2</v>
      </c>
      <c r="B141" s="38">
        <v>44802</v>
      </c>
      <c r="C141" s="9" t="s">
        <v>181</v>
      </c>
      <c r="D141" s="9" t="s">
        <v>47</v>
      </c>
      <c r="E141" s="9" t="s">
        <v>182</v>
      </c>
      <c r="F141" s="9" t="s">
        <v>447</v>
      </c>
      <c r="G141" s="54">
        <v>21440</v>
      </c>
      <c r="H141" s="54">
        <f>1930*2</f>
        <v>3860</v>
      </c>
      <c r="I141" s="54">
        <f t="shared" si="7"/>
        <v>25300</v>
      </c>
      <c r="J141" s="58" t="e">
        <f>+#REF!+#REF!+#REF!+#REF!</f>
        <v>#REF!</v>
      </c>
      <c r="K141" s="8">
        <v>44826</v>
      </c>
    </row>
    <row r="142" spans="1:11" s="1" customFormat="1" ht="45" x14ac:dyDescent="0.2">
      <c r="A142" s="7">
        <v>3</v>
      </c>
      <c r="B142" s="38">
        <v>44802</v>
      </c>
      <c r="C142" s="9" t="s">
        <v>183</v>
      </c>
      <c r="D142" s="9" t="s">
        <v>47</v>
      </c>
      <c r="E142" s="9" t="s">
        <v>184</v>
      </c>
      <c r="F142" s="9" t="s">
        <v>116</v>
      </c>
      <c r="G142" s="54">
        <v>26840</v>
      </c>
      <c r="H142" s="54">
        <f>2416*2</f>
        <v>4832</v>
      </c>
      <c r="I142" s="54">
        <f t="shared" si="7"/>
        <v>31672</v>
      </c>
      <c r="J142" s="58" t="e">
        <f>+#REF!+#REF!+#REF!+#REF!</f>
        <v>#REF!</v>
      </c>
      <c r="K142" s="8">
        <v>44826</v>
      </c>
    </row>
    <row r="143" spans="1:11" s="1" customFormat="1" ht="75" x14ac:dyDescent="0.2">
      <c r="A143" s="7">
        <v>4</v>
      </c>
      <c r="B143" s="38">
        <v>44828</v>
      </c>
      <c r="C143" s="9" t="s">
        <v>933</v>
      </c>
      <c r="D143" s="9" t="s">
        <v>47</v>
      </c>
      <c r="E143" s="9" t="s">
        <v>934</v>
      </c>
      <c r="F143" s="9" t="s">
        <v>817</v>
      </c>
      <c r="G143" s="54">
        <v>164264.20000000001</v>
      </c>
      <c r="H143" s="54">
        <f>14784+14784</f>
        <v>29568</v>
      </c>
      <c r="I143" s="54">
        <f t="shared" si="7"/>
        <v>193832.2</v>
      </c>
      <c r="J143" s="58" t="e">
        <f>+#REF!+#REF!+#REF!+#REF!-0.2</f>
        <v>#REF!</v>
      </c>
      <c r="K143" s="8">
        <v>44855</v>
      </c>
    </row>
    <row r="144" spans="1:11" s="1" customFormat="1" ht="30" x14ac:dyDescent="0.2">
      <c r="A144" s="7">
        <v>5</v>
      </c>
      <c r="B144" s="38">
        <v>44828</v>
      </c>
      <c r="C144" s="9">
        <v>52118</v>
      </c>
      <c r="D144" s="9" t="s">
        <v>47</v>
      </c>
      <c r="E144" s="9" t="s">
        <v>967</v>
      </c>
      <c r="F144" s="9" t="s">
        <v>158</v>
      </c>
      <c r="G144" s="54">
        <v>2800</v>
      </c>
      <c r="H144" s="54">
        <v>0</v>
      </c>
      <c r="I144" s="54">
        <f t="shared" si="7"/>
        <v>2800</v>
      </c>
      <c r="J144" s="58" t="e">
        <f>+#REF!+#REF!+#REF!+#REF!</f>
        <v>#REF!</v>
      </c>
      <c r="K144" s="8">
        <v>44828</v>
      </c>
    </row>
    <row r="145" spans="1:11" s="1" customFormat="1" ht="60" x14ac:dyDescent="0.2">
      <c r="A145" s="7">
        <v>6</v>
      </c>
      <c r="B145" s="38">
        <v>44866</v>
      </c>
      <c r="C145" s="9" t="s">
        <v>408</v>
      </c>
      <c r="D145" s="9" t="s">
        <v>47</v>
      </c>
      <c r="E145" s="9" t="s">
        <v>409</v>
      </c>
      <c r="F145" s="9" t="s">
        <v>447</v>
      </c>
      <c r="G145" s="54">
        <v>280695.09999999998</v>
      </c>
      <c r="H145" s="54">
        <f>25263*2</f>
        <v>50526</v>
      </c>
      <c r="I145" s="54">
        <f t="shared" si="7"/>
        <v>331221.09999999998</v>
      </c>
      <c r="J145" s="58" t="e">
        <f>+#REF!+#REF!+#REF!+#REF!-1.1</f>
        <v>#REF!</v>
      </c>
      <c r="K145" s="8">
        <v>44895</v>
      </c>
    </row>
    <row r="146" spans="1:11" s="1" customFormat="1" ht="45" x14ac:dyDescent="0.2">
      <c r="A146" s="7">
        <v>7</v>
      </c>
      <c r="B146" s="38">
        <v>44866</v>
      </c>
      <c r="C146" s="9" t="s">
        <v>410</v>
      </c>
      <c r="D146" s="9" t="s">
        <v>47</v>
      </c>
      <c r="E146" s="9" t="s">
        <v>411</v>
      </c>
      <c r="F146" s="9" t="s">
        <v>441</v>
      </c>
      <c r="G146" s="54">
        <v>19145.400000000001</v>
      </c>
      <c r="H146" s="54">
        <f>1723*2</f>
        <v>3446</v>
      </c>
      <c r="I146" s="54">
        <f t="shared" si="7"/>
        <v>22591.4</v>
      </c>
      <c r="J146" s="58" t="e">
        <f>+#REF!+#REF!+#REF!+#REF!+0.6</f>
        <v>#REF!</v>
      </c>
      <c r="K146" s="8">
        <v>44895</v>
      </c>
    </row>
    <row r="147" spans="1:11" s="1" customFormat="1" ht="105" x14ac:dyDescent="0.2">
      <c r="A147" s="7">
        <v>8</v>
      </c>
      <c r="B147" s="38">
        <v>44880</v>
      </c>
      <c r="C147" s="9" t="s">
        <v>425</v>
      </c>
      <c r="D147" s="9" t="s">
        <v>47</v>
      </c>
      <c r="E147" s="9" t="s">
        <v>427</v>
      </c>
      <c r="F147" s="9" t="s">
        <v>426</v>
      </c>
      <c r="G147" s="54">
        <f>35313.3</f>
        <v>35313.300000000003</v>
      </c>
      <c r="H147" s="54">
        <f>3178*2</f>
        <v>6356</v>
      </c>
      <c r="I147" s="54">
        <f t="shared" si="7"/>
        <v>41669.300000000003</v>
      </c>
      <c r="J147" s="58" t="e">
        <f>+#REF!+#REF!+#REF!+#REF!+0.7</f>
        <v>#REF!</v>
      </c>
      <c r="K147" s="8">
        <v>44901</v>
      </c>
    </row>
    <row r="148" spans="1:11" s="1" customFormat="1" ht="60" x14ac:dyDescent="0.2">
      <c r="A148" s="7">
        <v>9</v>
      </c>
      <c r="B148" s="38">
        <v>44880</v>
      </c>
      <c r="C148" s="9" t="s">
        <v>428</v>
      </c>
      <c r="D148" s="9" t="s">
        <v>47</v>
      </c>
      <c r="E148" s="9" t="s">
        <v>429</v>
      </c>
      <c r="F148" s="9" t="s">
        <v>426</v>
      </c>
      <c r="G148" s="54">
        <f>326963.68</f>
        <v>326963.68</v>
      </c>
      <c r="H148" s="54">
        <f>29427*2</f>
        <v>58854</v>
      </c>
      <c r="I148" s="54">
        <f t="shared" si="7"/>
        <v>385817.68</v>
      </c>
      <c r="J148" s="58" t="e">
        <f>+#REF!+#REF!+#REF!+#REF!-0.68</f>
        <v>#REF!</v>
      </c>
      <c r="K148" s="8">
        <v>44901</v>
      </c>
    </row>
    <row r="149" spans="1:11" s="1" customFormat="1" ht="75" x14ac:dyDescent="0.2">
      <c r="A149" s="7">
        <v>10</v>
      </c>
      <c r="B149" s="38">
        <v>44880</v>
      </c>
      <c r="C149" s="9"/>
      <c r="D149" s="9" t="s">
        <v>47</v>
      </c>
      <c r="E149" s="9" t="s">
        <v>432</v>
      </c>
      <c r="F149" s="9" t="s">
        <v>158</v>
      </c>
      <c r="G149" s="54">
        <f>6200+650</f>
        <v>6850</v>
      </c>
      <c r="H149" s="54">
        <v>0</v>
      </c>
      <c r="I149" s="54">
        <f t="shared" si="7"/>
        <v>6850</v>
      </c>
      <c r="J149" s="58" t="e">
        <f>+#REF!+#REF!+#REF!+#REF!</f>
        <v>#REF!</v>
      </c>
      <c r="K149" s="8">
        <v>44880</v>
      </c>
    </row>
    <row r="150" spans="1:11" s="1" customFormat="1" ht="45" x14ac:dyDescent="0.2">
      <c r="A150" s="7">
        <v>11</v>
      </c>
      <c r="B150" s="38">
        <v>44880</v>
      </c>
      <c r="C150" s="9" t="s">
        <v>635</v>
      </c>
      <c r="D150" s="9" t="s">
        <v>47</v>
      </c>
      <c r="E150" s="9" t="s">
        <v>976</v>
      </c>
      <c r="F150" s="9" t="s">
        <v>977</v>
      </c>
      <c r="G150" s="54">
        <v>6000</v>
      </c>
      <c r="H150" s="54">
        <v>0</v>
      </c>
      <c r="I150" s="54">
        <f t="shared" si="7"/>
        <v>6000</v>
      </c>
      <c r="J150" s="58" t="e">
        <f>+#REF!+#REF!+#REF!+#REF!</f>
        <v>#REF!</v>
      </c>
      <c r="K150" s="38">
        <v>44880</v>
      </c>
    </row>
    <row r="151" spans="1:11" s="1" customFormat="1" ht="45" x14ac:dyDescent="0.2">
      <c r="A151" s="7">
        <v>12</v>
      </c>
      <c r="B151" s="38">
        <v>44881</v>
      </c>
      <c r="C151" s="9" t="s">
        <v>436</v>
      </c>
      <c r="D151" s="9" t="s">
        <v>47</v>
      </c>
      <c r="E151" s="9" t="s">
        <v>437</v>
      </c>
      <c r="F151" s="9" t="s">
        <v>32</v>
      </c>
      <c r="G151" s="54">
        <v>70650</v>
      </c>
      <c r="H151" s="54">
        <f>6359*2</f>
        <v>12718</v>
      </c>
      <c r="I151" s="54">
        <f t="shared" si="7"/>
        <v>83368</v>
      </c>
      <c r="J151" s="58" t="e">
        <f>+#REF!+#REF!+#REF!+#REF!-1</f>
        <v>#REF!</v>
      </c>
      <c r="K151" s="8">
        <v>44853</v>
      </c>
    </row>
    <row r="152" spans="1:11" s="1" customFormat="1" ht="45" x14ac:dyDescent="0.2">
      <c r="A152" s="7">
        <v>13</v>
      </c>
      <c r="B152" s="38">
        <v>44883</v>
      </c>
      <c r="C152" s="9" t="s">
        <v>439</v>
      </c>
      <c r="D152" s="9" t="s">
        <v>47</v>
      </c>
      <c r="E152" s="9" t="s">
        <v>440</v>
      </c>
      <c r="F152" s="9" t="s">
        <v>441</v>
      </c>
      <c r="G152" s="54">
        <v>20740</v>
      </c>
      <c r="H152" s="54">
        <f>1867*2</f>
        <v>3734</v>
      </c>
      <c r="I152" s="54">
        <f t="shared" si="7"/>
        <v>24474</v>
      </c>
      <c r="J152" s="58" t="e">
        <f>+#REF!+#REF!+#REF!+#REF!-1</f>
        <v>#REF!</v>
      </c>
      <c r="K152" s="8">
        <v>44895</v>
      </c>
    </row>
    <row r="153" spans="1:11" s="1" customFormat="1" ht="45" x14ac:dyDescent="0.2">
      <c r="A153" s="7">
        <v>14</v>
      </c>
      <c r="B153" s="38">
        <v>44893</v>
      </c>
      <c r="C153" s="9" t="s">
        <v>480</v>
      </c>
      <c r="D153" s="9" t="s">
        <v>47</v>
      </c>
      <c r="E153" s="9" t="s">
        <v>481</v>
      </c>
      <c r="F153" s="9" t="s">
        <v>426</v>
      </c>
      <c r="G153" s="54">
        <f>43639.2</f>
        <v>43639.199999999997</v>
      </c>
      <c r="H153" s="54">
        <f>3928*2</f>
        <v>7856</v>
      </c>
      <c r="I153" s="54">
        <f t="shared" si="7"/>
        <v>51495.199999999997</v>
      </c>
      <c r="J153" s="58" t="e">
        <f>+#REF!+#REF!+#REF!+#REF!-1.2</f>
        <v>#REF!</v>
      </c>
      <c r="K153" s="8">
        <v>44901</v>
      </c>
    </row>
    <row r="154" spans="1:11" s="1" customFormat="1" ht="30" x14ac:dyDescent="0.2">
      <c r="A154" s="7">
        <v>15</v>
      </c>
      <c r="B154" s="38">
        <v>44697</v>
      </c>
      <c r="C154" s="9" t="s">
        <v>159</v>
      </c>
      <c r="D154" s="9" t="s">
        <v>47</v>
      </c>
      <c r="E154" s="9" t="s">
        <v>160</v>
      </c>
      <c r="F154" s="9" t="s">
        <v>161</v>
      </c>
      <c r="G154" s="54">
        <v>117000</v>
      </c>
      <c r="H154" s="54">
        <v>21060</v>
      </c>
      <c r="I154" s="54">
        <f t="shared" si="7"/>
        <v>138060</v>
      </c>
      <c r="J154" s="58" t="e">
        <f>+#REF!+#REF!+#REF!+#REF!</f>
        <v>#REF!</v>
      </c>
      <c r="K154" s="8">
        <v>44734</v>
      </c>
    </row>
    <row r="155" spans="1:11" s="1" customFormat="1" ht="30" x14ac:dyDescent="0.2">
      <c r="A155" s="7">
        <v>16</v>
      </c>
      <c r="B155" s="38">
        <v>44742</v>
      </c>
      <c r="C155" s="9" t="s">
        <v>162</v>
      </c>
      <c r="D155" s="9" t="s">
        <v>47</v>
      </c>
      <c r="E155" s="9" t="s">
        <v>163</v>
      </c>
      <c r="F155" s="9" t="s">
        <v>161</v>
      </c>
      <c r="G155" s="54">
        <v>23400</v>
      </c>
      <c r="H155" s="54">
        <v>4212</v>
      </c>
      <c r="I155" s="54">
        <f t="shared" si="7"/>
        <v>27612</v>
      </c>
      <c r="J155" s="58" t="e">
        <f>+#REF!+#REF!+#REF!+#REF!</f>
        <v>#REF!</v>
      </c>
      <c r="K155" s="8">
        <v>44764</v>
      </c>
    </row>
    <row r="156" spans="1:11" s="1" customFormat="1" ht="30" x14ac:dyDescent="0.2">
      <c r="A156" s="7">
        <v>17</v>
      </c>
      <c r="B156" s="38">
        <v>44790</v>
      </c>
      <c r="C156" s="9" t="s">
        <v>164</v>
      </c>
      <c r="D156" s="9" t="s">
        <v>47</v>
      </c>
      <c r="E156" s="9" t="s">
        <v>163</v>
      </c>
      <c r="F156" s="9" t="s">
        <v>161</v>
      </c>
      <c r="G156" s="54">
        <v>23400</v>
      </c>
      <c r="H156" s="54">
        <v>4212</v>
      </c>
      <c r="I156" s="54">
        <f t="shared" si="7"/>
        <v>27612</v>
      </c>
      <c r="J156" s="58" t="e">
        <f>+#REF!+#REF!+#REF!+#REF!</f>
        <v>#REF!</v>
      </c>
      <c r="K156" s="8">
        <v>44908</v>
      </c>
    </row>
    <row r="157" spans="1:11" s="1" customFormat="1" ht="60" x14ac:dyDescent="0.2">
      <c r="A157" s="7">
        <v>18</v>
      </c>
      <c r="B157" s="38">
        <v>44534</v>
      </c>
      <c r="C157" s="9" t="s">
        <v>31</v>
      </c>
      <c r="D157" s="9" t="s">
        <v>47</v>
      </c>
      <c r="E157" s="9" t="s">
        <v>287</v>
      </c>
      <c r="F157" s="9" t="s">
        <v>32</v>
      </c>
      <c r="G157" s="54">
        <v>171900</v>
      </c>
      <c r="H157" s="54">
        <f>8478+8478+2754+2754</f>
        <v>22464</v>
      </c>
      <c r="I157" s="54">
        <f t="shared" si="7"/>
        <v>194364</v>
      </c>
      <c r="J157" s="58" t="e">
        <f>+#REF!+#REF!+#REF!+#REF!</f>
        <v>#REF!</v>
      </c>
      <c r="K157" s="8">
        <v>44531</v>
      </c>
    </row>
    <row r="158" spans="1:11" s="1" customFormat="1" ht="30" x14ac:dyDescent="0.2">
      <c r="A158" s="7">
        <v>19</v>
      </c>
      <c r="B158" s="38">
        <v>44534</v>
      </c>
      <c r="C158" s="9"/>
      <c r="D158" s="9" t="s">
        <v>47</v>
      </c>
      <c r="E158" s="9" t="s">
        <v>1242</v>
      </c>
      <c r="F158" s="9" t="s">
        <v>106</v>
      </c>
      <c r="G158" s="54">
        <v>8000</v>
      </c>
      <c r="H158" s="54">
        <v>0</v>
      </c>
      <c r="I158" s="54">
        <f t="shared" si="7"/>
        <v>8000</v>
      </c>
      <c r="J158" s="58" t="e">
        <f>+#REF!+#REF!+#REF!+#REF!</f>
        <v>#REF!</v>
      </c>
      <c r="K158" s="8">
        <v>44555</v>
      </c>
    </row>
    <row r="159" spans="1:11" s="1" customFormat="1" ht="30" x14ac:dyDescent="0.2">
      <c r="A159" s="7">
        <v>20</v>
      </c>
      <c r="B159" s="38">
        <v>44851</v>
      </c>
      <c r="C159" s="9">
        <v>28432</v>
      </c>
      <c r="D159" s="9" t="s">
        <v>47</v>
      </c>
      <c r="E159" s="9" t="s">
        <v>119</v>
      </c>
      <c r="F159" s="9" t="s">
        <v>45</v>
      </c>
      <c r="G159" s="54">
        <v>153562.04999999999</v>
      </c>
      <c r="H159" s="54">
        <f>13821*2</f>
        <v>27642</v>
      </c>
      <c r="I159" s="54">
        <f t="shared" si="7"/>
        <v>181204.05</v>
      </c>
      <c r="J159" s="58" t="e">
        <f>+#REF!+#REF!+#REF!+#REF!-0.27</f>
        <v>#REF!</v>
      </c>
      <c r="K159" s="8">
        <v>44848</v>
      </c>
    </row>
    <row r="160" spans="1:11" s="1" customFormat="1" ht="30" x14ac:dyDescent="0.2">
      <c r="A160" s="7">
        <v>21</v>
      </c>
      <c r="B160" s="38">
        <v>44851</v>
      </c>
      <c r="C160" s="9">
        <v>28436</v>
      </c>
      <c r="D160" s="9" t="s">
        <v>47</v>
      </c>
      <c r="E160" s="9" t="s">
        <v>119</v>
      </c>
      <c r="F160" s="9" t="s">
        <v>45</v>
      </c>
      <c r="G160" s="54">
        <v>751379</v>
      </c>
      <c r="H160" s="54">
        <f>67624*2</f>
        <v>135248</v>
      </c>
      <c r="I160" s="54">
        <f t="shared" si="7"/>
        <v>886627</v>
      </c>
      <c r="J160" s="58" t="e">
        <f>+#REF!+#REF!+#REF!+#REF!</f>
        <v>#REF!</v>
      </c>
      <c r="K160" s="8">
        <v>44848</v>
      </c>
    </row>
    <row r="161" spans="1:13" s="1" customFormat="1" ht="30" x14ac:dyDescent="0.2">
      <c r="A161" s="7">
        <v>22</v>
      </c>
      <c r="B161" s="38">
        <v>44851</v>
      </c>
      <c r="C161" s="9">
        <v>28440</v>
      </c>
      <c r="D161" s="9" t="s">
        <v>47</v>
      </c>
      <c r="E161" s="9" t="s">
        <v>120</v>
      </c>
      <c r="F161" s="9" t="s">
        <v>45</v>
      </c>
      <c r="G161" s="54">
        <v>399686.31</v>
      </c>
      <c r="H161" s="54">
        <f>35972*2</f>
        <v>71944</v>
      </c>
      <c r="I161" s="54">
        <f t="shared" si="7"/>
        <v>471630.31</v>
      </c>
      <c r="J161" s="58" t="e">
        <f>+#REF!+#REF!+#REF!+#REF!-0.31</f>
        <v>#REF!</v>
      </c>
      <c r="K161" s="8">
        <v>44848</v>
      </c>
    </row>
    <row r="162" spans="1:13" s="1" customFormat="1" ht="240" x14ac:dyDescent="0.2">
      <c r="A162" s="7">
        <v>23</v>
      </c>
      <c r="B162" s="38">
        <v>44821</v>
      </c>
      <c r="C162" s="9">
        <v>155</v>
      </c>
      <c r="D162" s="9" t="s">
        <v>47</v>
      </c>
      <c r="E162" s="9" t="s">
        <v>726</v>
      </c>
      <c r="F162" s="9" t="s">
        <v>86</v>
      </c>
      <c r="G162" s="54">
        <v>216700</v>
      </c>
      <c r="H162" s="54">
        <f>19503*2</f>
        <v>39006</v>
      </c>
      <c r="I162" s="54">
        <f t="shared" si="7"/>
        <v>255706</v>
      </c>
      <c r="J162" s="58" t="e">
        <f>+#REF!+#REF!+#REF!+#REF!</f>
        <v>#REF!</v>
      </c>
      <c r="K162" s="8">
        <v>44817</v>
      </c>
    </row>
    <row r="163" spans="1:13" s="1" customFormat="1" ht="45" x14ac:dyDescent="0.2">
      <c r="A163" s="7">
        <v>24</v>
      </c>
      <c r="B163" s="38">
        <v>44823</v>
      </c>
      <c r="C163" s="9" t="s">
        <v>936</v>
      </c>
      <c r="D163" s="9" t="s">
        <v>47</v>
      </c>
      <c r="E163" s="9" t="s">
        <v>935</v>
      </c>
      <c r="F163" s="9" t="s">
        <v>801</v>
      </c>
      <c r="G163" s="54">
        <v>21000</v>
      </c>
      <c r="H163" s="54">
        <v>0</v>
      </c>
      <c r="I163" s="54">
        <f t="shared" si="7"/>
        <v>21000</v>
      </c>
      <c r="J163" s="58" t="e">
        <f>+#REF!+#REF!+#REF!+#REF!</f>
        <v>#REF!</v>
      </c>
      <c r="K163" s="8">
        <v>44935</v>
      </c>
    </row>
    <row r="164" spans="1:13" s="1" customFormat="1" ht="30" x14ac:dyDescent="0.2">
      <c r="A164" s="7">
        <v>25</v>
      </c>
      <c r="B164" s="38">
        <v>44927</v>
      </c>
      <c r="C164" s="9" t="s">
        <v>871</v>
      </c>
      <c r="D164" s="9" t="s">
        <v>47</v>
      </c>
      <c r="E164" s="9" t="s">
        <v>539</v>
      </c>
      <c r="F164" s="9" t="s">
        <v>540</v>
      </c>
      <c r="G164" s="54">
        <v>79542.600000000006</v>
      </c>
      <c r="H164" s="54">
        <v>14318</v>
      </c>
      <c r="I164" s="54">
        <f t="shared" si="7"/>
        <v>93860.6</v>
      </c>
      <c r="J164" s="58" t="e">
        <f>+#REF!+#REF!+#REF!+#REF!-0.6</f>
        <v>#REF!</v>
      </c>
      <c r="K164" s="8">
        <v>44879</v>
      </c>
    </row>
    <row r="165" spans="1:13" s="1" customFormat="1" ht="60" x14ac:dyDescent="0.2">
      <c r="A165" s="7">
        <v>26</v>
      </c>
      <c r="B165" s="38">
        <v>44886</v>
      </c>
      <c r="C165" s="9" t="s">
        <v>544</v>
      </c>
      <c r="D165" s="9" t="s">
        <v>47</v>
      </c>
      <c r="E165" s="9" t="s">
        <v>545</v>
      </c>
      <c r="F165" s="9" t="s">
        <v>32</v>
      </c>
      <c r="G165" s="54">
        <v>25500</v>
      </c>
      <c r="H165" s="54">
        <f>2295*2</f>
        <v>4590</v>
      </c>
      <c r="I165" s="54">
        <f t="shared" si="7"/>
        <v>30090</v>
      </c>
      <c r="J165" s="58" t="e">
        <f>+#REF!+#REF!+#REF!+#REF!</f>
        <v>#REF!</v>
      </c>
      <c r="K165" s="8">
        <v>44876</v>
      </c>
    </row>
    <row r="166" spans="1:13" s="1" customFormat="1" ht="120" x14ac:dyDescent="0.2">
      <c r="A166" s="7">
        <v>27</v>
      </c>
      <c r="B166" s="38">
        <v>44886</v>
      </c>
      <c r="C166" s="9" t="s">
        <v>455</v>
      </c>
      <c r="D166" s="9" t="s">
        <v>47</v>
      </c>
      <c r="E166" s="9" t="s">
        <v>456</v>
      </c>
      <c r="F166" s="9" t="s">
        <v>223</v>
      </c>
      <c r="G166" s="54">
        <f>184993.62</f>
        <v>184993.62</v>
      </c>
      <c r="H166" s="54">
        <f>16649*2</f>
        <v>33298</v>
      </c>
      <c r="I166" s="54">
        <f t="shared" si="7"/>
        <v>218291.62</v>
      </c>
      <c r="J166" s="58" t="e">
        <f>+#REF!+#REF!+#REF!+#REF!+1.38</f>
        <v>#REF!</v>
      </c>
      <c r="K166" s="8">
        <v>45162</v>
      </c>
    </row>
    <row r="167" spans="1:13" s="1" customFormat="1" ht="45" x14ac:dyDescent="0.2">
      <c r="A167" s="7">
        <v>28</v>
      </c>
      <c r="B167" s="38">
        <v>44886</v>
      </c>
      <c r="C167" s="9"/>
      <c r="D167" s="9" t="s">
        <v>47</v>
      </c>
      <c r="E167" s="9" t="s">
        <v>457</v>
      </c>
      <c r="F167" s="9" t="s">
        <v>106</v>
      </c>
      <c r="G167" s="54">
        <v>1275</v>
      </c>
      <c r="H167" s="54">
        <v>0</v>
      </c>
      <c r="I167" s="54">
        <f t="shared" si="7"/>
        <v>1275</v>
      </c>
      <c r="J167" s="58" t="e">
        <f>+#REF!+#REF!+#REF!+#REF!</f>
        <v>#REF!</v>
      </c>
      <c r="K167" s="8">
        <v>44886</v>
      </c>
    </row>
    <row r="168" spans="1:13" s="1" customFormat="1" ht="45" x14ac:dyDescent="0.2">
      <c r="A168" s="7">
        <v>29</v>
      </c>
      <c r="B168" s="38">
        <v>44886</v>
      </c>
      <c r="C168" s="9"/>
      <c r="D168" s="9" t="s">
        <v>47</v>
      </c>
      <c r="E168" s="9" t="s">
        <v>458</v>
      </c>
      <c r="F168" s="9" t="s">
        <v>459</v>
      </c>
      <c r="G168" s="54">
        <v>2500</v>
      </c>
      <c r="H168" s="54">
        <v>0</v>
      </c>
      <c r="I168" s="54">
        <f t="shared" si="7"/>
        <v>2500</v>
      </c>
      <c r="J168" s="58" t="e">
        <f>+#REF!+#REF!+#REF!+#REF!</f>
        <v>#REF!</v>
      </c>
      <c r="K168" s="8">
        <v>44886</v>
      </c>
    </row>
    <row r="169" spans="1:13" s="1" customFormat="1" ht="45" x14ac:dyDescent="0.2">
      <c r="A169" s="7">
        <v>30</v>
      </c>
      <c r="B169" s="38">
        <v>44891</v>
      </c>
      <c r="C169" s="9" t="s">
        <v>467</v>
      </c>
      <c r="D169" s="9" t="s">
        <v>47</v>
      </c>
      <c r="E169" s="9" t="s">
        <v>468</v>
      </c>
      <c r="F169" s="9" t="s">
        <v>447</v>
      </c>
      <c r="G169" s="54">
        <v>7261.8</v>
      </c>
      <c r="H169" s="54">
        <f>654*2</f>
        <v>1308</v>
      </c>
      <c r="I169" s="54">
        <f t="shared" si="7"/>
        <v>8569.7999999999993</v>
      </c>
      <c r="J169" s="58" t="e">
        <f>+#REF!+#REF!+#REF!+#REF!-0.8</f>
        <v>#REF!</v>
      </c>
      <c r="K169" s="8">
        <v>44895</v>
      </c>
    </row>
    <row r="170" spans="1:13" s="1" customFormat="1" ht="60" x14ac:dyDescent="0.2">
      <c r="A170" s="7">
        <v>31</v>
      </c>
      <c r="B170" s="38">
        <v>44893</v>
      </c>
      <c r="C170" s="9" t="s">
        <v>515</v>
      </c>
      <c r="D170" s="9" t="s">
        <v>47</v>
      </c>
      <c r="E170" s="9" t="s">
        <v>516</v>
      </c>
      <c r="F170" s="9" t="s">
        <v>211</v>
      </c>
      <c r="G170" s="54">
        <v>16480</v>
      </c>
      <c r="H170" s="54">
        <f>1483*2</f>
        <v>2966</v>
      </c>
      <c r="I170" s="54">
        <f t="shared" si="7"/>
        <v>19446</v>
      </c>
      <c r="J170" s="58" t="e">
        <f>+#REF!+#REF!+#REF!+#REF!</f>
        <v>#REF!</v>
      </c>
      <c r="K170" s="8">
        <v>44908</v>
      </c>
    </row>
    <row r="171" spans="1:13" s="1" customFormat="1" ht="30" x14ac:dyDescent="0.2">
      <c r="A171" s="7">
        <v>32</v>
      </c>
      <c r="B171" s="38">
        <v>44880</v>
      </c>
      <c r="C171" s="9" t="s">
        <v>431</v>
      </c>
      <c r="D171" s="9" t="s">
        <v>47</v>
      </c>
      <c r="E171" s="9" t="s">
        <v>430</v>
      </c>
      <c r="F171" s="9" t="s">
        <v>46</v>
      </c>
      <c r="G171" s="54">
        <v>1561632</v>
      </c>
      <c r="H171" s="54">
        <f>140547*2</f>
        <v>281094</v>
      </c>
      <c r="I171" s="54">
        <f t="shared" si="7"/>
        <v>1842726</v>
      </c>
      <c r="J171" s="58" t="e">
        <f>+#REF!+#REF!+#REF!+#REF!</f>
        <v>#REF!</v>
      </c>
      <c r="K171" s="8">
        <v>44763</v>
      </c>
      <c r="L171" s="17"/>
      <c r="M171" s="17"/>
    </row>
    <row r="172" spans="1:13" s="1" customFormat="1" ht="45" x14ac:dyDescent="0.2">
      <c r="A172" s="7">
        <v>33</v>
      </c>
      <c r="B172" s="38">
        <v>44896</v>
      </c>
      <c r="C172" s="9" t="s">
        <v>617</v>
      </c>
      <c r="D172" s="9" t="s">
        <v>47</v>
      </c>
      <c r="E172" s="9" t="s">
        <v>618</v>
      </c>
      <c r="F172" s="9" t="s">
        <v>441</v>
      </c>
      <c r="G172" s="54">
        <v>10950</v>
      </c>
      <c r="H172" s="54">
        <f>986*2</f>
        <v>1972</v>
      </c>
      <c r="I172" s="54">
        <f t="shared" si="7"/>
        <v>12922</v>
      </c>
      <c r="J172" s="58" t="e">
        <f>+#REF!+#REF!+#REF!+#REF!</f>
        <v>#REF!</v>
      </c>
      <c r="K172" s="8">
        <v>44953</v>
      </c>
    </row>
    <row r="173" spans="1:13" s="1" customFormat="1" ht="45" x14ac:dyDescent="0.2">
      <c r="A173" s="7">
        <v>34</v>
      </c>
      <c r="B173" s="38">
        <v>44902</v>
      </c>
      <c r="C173" s="9">
        <v>64251</v>
      </c>
      <c r="D173" s="9" t="s">
        <v>47</v>
      </c>
      <c r="E173" s="9" t="s">
        <v>631</v>
      </c>
      <c r="F173" s="9" t="s">
        <v>208</v>
      </c>
      <c r="G173" s="54">
        <v>3774</v>
      </c>
      <c r="H173" s="54">
        <f>340*2</f>
        <v>680</v>
      </c>
      <c r="I173" s="54">
        <f t="shared" si="7"/>
        <v>4454</v>
      </c>
      <c r="J173" s="58" t="e">
        <f>+#REF!+#REF!+#REF!+#REF!</f>
        <v>#REF!</v>
      </c>
      <c r="K173" s="8">
        <v>44954</v>
      </c>
    </row>
    <row r="174" spans="1:13" s="1" customFormat="1" ht="30" x14ac:dyDescent="0.2">
      <c r="A174" s="7">
        <v>35</v>
      </c>
      <c r="B174" s="38">
        <v>44906</v>
      </c>
      <c r="C174" s="9" t="s">
        <v>635</v>
      </c>
      <c r="D174" s="9" t="s">
        <v>47</v>
      </c>
      <c r="E174" s="9" t="s">
        <v>636</v>
      </c>
      <c r="F174" s="9" t="s">
        <v>637</v>
      </c>
      <c r="G174" s="54">
        <v>6400</v>
      </c>
      <c r="H174" s="54">
        <v>0</v>
      </c>
      <c r="I174" s="54">
        <f t="shared" si="7"/>
        <v>6400</v>
      </c>
      <c r="J174" s="58" t="e">
        <f>+#REF!+#REF!+#REF!+#REF!</f>
        <v>#REF!</v>
      </c>
      <c r="K174" s="38">
        <v>44906</v>
      </c>
    </row>
    <row r="175" spans="1:13" s="1" customFormat="1" ht="45" x14ac:dyDescent="0.2">
      <c r="A175" s="7">
        <v>36</v>
      </c>
      <c r="B175" s="38">
        <v>44916</v>
      </c>
      <c r="C175" s="9">
        <v>64562</v>
      </c>
      <c r="D175" s="9" t="s">
        <v>47</v>
      </c>
      <c r="E175" s="9" t="s">
        <v>685</v>
      </c>
      <c r="F175" s="9" t="s">
        <v>208</v>
      </c>
      <c r="G175" s="54">
        <v>4365</v>
      </c>
      <c r="H175" s="54">
        <f>393*2</f>
        <v>786</v>
      </c>
      <c r="I175" s="54">
        <f t="shared" si="7"/>
        <v>5151</v>
      </c>
      <c r="J175" s="58" t="e">
        <f>+#REF!+#REF!+#REF!+#REF!</f>
        <v>#REF!</v>
      </c>
      <c r="K175" s="8">
        <v>44954</v>
      </c>
    </row>
    <row r="176" spans="1:13" s="1" customFormat="1" ht="45" x14ac:dyDescent="0.2">
      <c r="A176" s="7">
        <v>37</v>
      </c>
      <c r="B176" s="38">
        <v>44918</v>
      </c>
      <c r="C176" s="9" t="s">
        <v>682</v>
      </c>
      <c r="D176" s="9" t="s">
        <v>47</v>
      </c>
      <c r="E176" s="9" t="s">
        <v>683</v>
      </c>
      <c r="F176" s="9" t="s">
        <v>116</v>
      </c>
      <c r="G176" s="54">
        <v>45380</v>
      </c>
      <c r="H176" s="54">
        <f>4084*2</f>
        <v>8168</v>
      </c>
      <c r="I176" s="54">
        <f t="shared" si="7"/>
        <v>53548</v>
      </c>
      <c r="J176" s="58" t="e">
        <f>+#REF!+#REF!+#REF!+#REF!</f>
        <v>#REF!</v>
      </c>
      <c r="K176" s="8">
        <v>44956</v>
      </c>
    </row>
    <row r="177" spans="1:13" s="1" customFormat="1" ht="30" x14ac:dyDescent="0.2">
      <c r="A177" s="7">
        <v>38</v>
      </c>
      <c r="B177" s="38">
        <v>44924</v>
      </c>
      <c r="C177" s="9" t="s">
        <v>693</v>
      </c>
      <c r="D177" s="9" t="s">
        <v>47</v>
      </c>
      <c r="E177" s="9" t="s">
        <v>694</v>
      </c>
      <c r="F177" s="9" t="s">
        <v>211</v>
      </c>
      <c r="G177" s="54">
        <v>65780</v>
      </c>
      <c r="H177" s="54">
        <f>5920*2</f>
        <v>11840</v>
      </c>
      <c r="I177" s="54">
        <f t="shared" si="7"/>
        <v>77620</v>
      </c>
      <c r="J177" s="58" t="e">
        <f>+#REF!+#REF!+#REF!+#REF!</f>
        <v>#REF!</v>
      </c>
      <c r="K177" s="8">
        <v>44954</v>
      </c>
    </row>
    <row r="178" spans="1:13" s="1" customFormat="1" ht="45" x14ac:dyDescent="0.2">
      <c r="A178" s="7">
        <v>39</v>
      </c>
      <c r="B178" s="38">
        <v>44922</v>
      </c>
      <c r="C178" s="9">
        <v>64677</v>
      </c>
      <c r="D178" s="9" t="s">
        <v>47</v>
      </c>
      <c r="E178" s="9" t="s">
        <v>718</v>
      </c>
      <c r="F178" s="9" t="s">
        <v>208</v>
      </c>
      <c r="G178" s="54">
        <v>9000</v>
      </c>
      <c r="H178" s="54">
        <f>810*2</f>
        <v>1620</v>
      </c>
      <c r="I178" s="54">
        <f t="shared" si="7"/>
        <v>10620</v>
      </c>
      <c r="J178" s="58" t="e">
        <f>+#REF!+#REF!+#REF!+#REF!</f>
        <v>#REF!</v>
      </c>
      <c r="K178" s="8">
        <v>44954</v>
      </c>
    </row>
    <row r="179" spans="1:13" s="1" customFormat="1" ht="30" x14ac:dyDescent="0.2">
      <c r="A179" s="7">
        <v>40</v>
      </c>
      <c r="B179" s="38">
        <v>44923</v>
      </c>
      <c r="C179" s="9">
        <v>64709</v>
      </c>
      <c r="D179" s="9" t="s">
        <v>47</v>
      </c>
      <c r="E179" s="9" t="s">
        <v>719</v>
      </c>
      <c r="F179" s="9" t="s">
        <v>208</v>
      </c>
      <c r="G179" s="54">
        <v>738</v>
      </c>
      <c r="H179" s="54">
        <f>66*2</f>
        <v>132</v>
      </c>
      <c r="I179" s="54">
        <f t="shared" si="7"/>
        <v>870</v>
      </c>
      <c r="J179" s="58" t="e">
        <f>+#REF!+#REF!+#REF!+#REF!</f>
        <v>#REF!</v>
      </c>
      <c r="K179" s="8">
        <v>44954</v>
      </c>
    </row>
    <row r="180" spans="1:13" s="1" customFormat="1" ht="45" x14ac:dyDescent="0.2">
      <c r="A180" s="7">
        <v>41</v>
      </c>
      <c r="B180" s="38">
        <v>44933</v>
      </c>
      <c r="C180" s="9">
        <v>64892</v>
      </c>
      <c r="D180" s="9" t="s">
        <v>47</v>
      </c>
      <c r="E180" s="9" t="s">
        <v>718</v>
      </c>
      <c r="F180" s="9" t="s">
        <v>208</v>
      </c>
      <c r="G180" s="54">
        <v>4680</v>
      </c>
      <c r="H180" s="54">
        <f>421+421</f>
        <v>842</v>
      </c>
      <c r="I180" s="54">
        <f t="shared" si="7"/>
        <v>5522</v>
      </c>
      <c r="J180" s="58" t="e">
        <f>+#REF!+#REF!+#REF!+#REF!</f>
        <v>#REF!</v>
      </c>
      <c r="K180" s="8">
        <v>44980</v>
      </c>
    </row>
    <row r="181" spans="1:13" s="1" customFormat="1" ht="30" x14ac:dyDescent="0.2">
      <c r="A181" s="7">
        <v>42</v>
      </c>
      <c r="B181" s="38">
        <v>44956</v>
      </c>
      <c r="C181" s="9">
        <v>264</v>
      </c>
      <c r="D181" s="9" t="s">
        <v>47</v>
      </c>
      <c r="E181" s="9" t="s">
        <v>845</v>
      </c>
      <c r="F181" s="9" t="s">
        <v>846</v>
      </c>
      <c r="G181" s="54">
        <v>44848.44</v>
      </c>
      <c r="H181" s="54">
        <f>4036+4036</f>
        <v>8072</v>
      </c>
      <c r="I181" s="54">
        <f t="shared" si="7"/>
        <v>52920.44</v>
      </c>
      <c r="J181" s="58" t="e">
        <f>+#REF!+#REF!+#REF!+#REF!+0.56</f>
        <v>#REF!</v>
      </c>
      <c r="K181" s="8">
        <v>44957</v>
      </c>
    </row>
    <row r="182" spans="1:13" s="1" customFormat="1" ht="45" x14ac:dyDescent="0.2">
      <c r="A182" s="7">
        <v>43</v>
      </c>
      <c r="B182" s="38">
        <v>44958</v>
      </c>
      <c r="C182" s="9" t="s">
        <v>476</v>
      </c>
      <c r="D182" s="9" t="s">
        <v>47</v>
      </c>
      <c r="E182" s="9" t="s">
        <v>891</v>
      </c>
      <c r="F182" s="9" t="s">
        <v>892</v>
      </c>
      <c r="G182" s="54">
        <v>3800</v>
      </c>
      <c r="H182" s="54">
        <v>0</v>
      </c>
      <c r="I182" s="54">
        <f t="shared" si="7"/>
        <v>3800</v>
      </c>
      <c r="J182" s="58" t="e">
        <f>+#REF!+#REF!+#REF!+#REF!</f>
        <v>#REF!</v>
      </c>
      <c r="K182" s="8">
        <v>44958</v>
      </c>
    </row>
    <row r="183" spans="1:13" s="1" customFormat="1" ht="30" x14ac:dyDescent="0.2">
      <c r="A183" s="7">
        <v>44</v>
      </c>
      <c r="B183" s="38">
        <v>44992</v>
      </c>
      <c r="C183" s="9" t="s">
        <v>1041</v>
      </c>
      <c r="D183" s="9" t="s">
        <v>47</v>
      </c>
      <c r="E183" s="9" t="s">
        <v>430</v>
      </c>
      <c r="F183" s="9" t="s">
        <v>46</v>
      </c>
      <c r="G183" s="54">
        <v>120016</v>
      </c>
      <c r="H183" s="54">
        <f>10801+10801</f>
        <v>21602</v>
      </c>
      <c r="I183" s="54">
        <f t="shared" si="7"/>
        <v>141618</v>
      </c>
      <c r="J183" s="58" t="e">
        <f>+#REF!+#REF!+#REF!+#REF!</f>
        <v>#REF!</v>
      </c>
      <c r="K183" s="8">
        <v>45012</v>
      </c>
      <c r="L183" s="55"/>
      <c r="M183" s="55"/>
    </row>
    <row r="184" spans="1:13" s="1" customFormat="1" ht="30" x14ac:dyDescent="0.2">
      <c r="A184" s="7">
        <v>45</v>
      </c>
      <c r="B184" s="38">
        <v>45141</v>
      </c>
      <c r="C184" s="9" t="s">
        <v>1886</v>
      </c>
      <c r="D184" s="9" t="s">
        <v>47</v>
      </c>
      <c r="E184" s="9" t="s">
        <v>1887</v>
      </c>
      <c r="F184" s="9" t="s">
        <v>441</v>
      </c>
      <c r="G184" s="54">
        <v>20400</v>
      </c>
      <c r="H184" s="54">
        <f>1836+1836</f>
        <v>3672</v>
      </c>
      <c r="I184" s="54">
        <f t="shared" si="7"/>
        <v>24072</v>
      </c>
      <c r="J184" s="58" t="e">
        <f>+#REF!+#REF!+#REF!+#REF!</f>
        <v>#REF!</v>
      </c>
      <c r="K184" s="8">
        <v>45194</v>
      </c>
      <c r="L184" s="55"/>
      <c r="M184" s="55"/>
    </row>
    <row r="185" spans="1:13" s="1" customFormat="1" ht="60" x14ac:dyDescent="0.2">
      <c r="A185" s="7">
        <v>46</v>
      </c>
      <c r="B185" s="38">
        <v>45152</v>
      </c>
      <c r="C185" s="9" t="s">
        <v>1816</v>
      </c>
      <c r="D185" s="9" t="s">
        <v>47</v>
      </c>
      <c r="E185" s="9" t="s">
        <v>1817</v>
      </c>
      <c r="F185" s="9" t="s">
        <v>426</v>
      </c>
      <c r="G185" s="54">
        <v>105200</v>
      </c>
      <c r="H185" s="54">
        <f>9468+9468</f>
        <v>18936</v>
      </c>
      <c r="I185" s="54">
        <f t="shared" si="7"/>
        <v>124136</v>
      </c>
      <c r="J185" s="58" t="e">
        <f>+#REF!+#REF!+#REF!+#REF!</f>
        <v>#REF!</v>
      </c>
      <c r="K185" s="8">
        <v>45213</v>
      </c>
    </row>
    <row r="186" spans="1:13" s="1" customFormat="1" ht="45" x14ac:dyDescent="0.2">
      <c r="A186" s="7">
        <v>47</v>
      </c>
      <c r="B186" s="38">
        <v>45152</v>
      </c>
      <c r="C186" s="9"/>
      <c r="D186" s="9" t="s">
        <v>47</v>
      </c>
      <c r="E186" s="9" t="s">
        <v>1830</v>
      </c>
      <c r="F186" s="9" t="s">
        <v>915</v>
      </c>
      <c r="G186" s="54">
        <v>3490</v>
      </c>
      <c r="H186" s="54">
        <v>0</v>
      </c>
      <c r="I186" s="54">
        <f t="shared" si="7"/>
        <v>3490</v>
      </c>
      <c r="J186" s="58" t="e">
        <f>+#REF!+#REF!+#REF!+#REF!</f>
        <v>#REF!</v>
      </c>
      <c r="K186" s="38">
        <v>45152</v>
      </c>
    </row>
    <row r="187" spans="1:13" s="1" customFormat="1" ht="60" x14ac:dyDescent="0.2">
      <c r="A187" s="7">
        <v>48</v>
      </c>
      <c r="B187" s="38">
        <v>45162</v>
      </c>
      <c r="C187" s="9" t="s">
        <v>1833</v>
      </c>
      <c r="D187" s="9" t="s">
        <v>47</v>
      </c>
      <c r="E187" s="9" t="s">
        <v>1834</v>
      </c>
      <c r="F187" s="9" t="s">
        <v>1835</v>
      </c>
      <c r="G187" s="54">
        <v>22645</v>
      </c>
      <c r="H187" s="54">
        <f>2038+2038</f>
        <v>4076</v>
      </c>
      <c r="I187" s="54">
        <f t="shared" si="7"/>
        <v>26721</v>
      </c>
      <c r="J187" s="58" t="e">
        <f>+#REF!+#REF!+#REF!+#REF!</f>
        <v>#REF!</v>
      </c>
      <c r="K187" s="8">
        <v>45157</v>
      </c>
    </row>
    <row r="188" spans="1:13" s="21" customFormat="1" ht="15.75" x14ac:dyDescent="0.25">
      <c r="A188" s="18"/>
      <c r="B188" s="19"/>
      <c r="C188" s="20"/>
      <c r="D188" s="20"/>
      <c r="E188" s="20"/>
      <c r="F188" s="27" t="s">
        <v>593</v>
      </c>
      <c r="G188" s="24">
        <f t="shared" ref="G188:I188" si="8">SUM(G140:G187)</f>
        <v>7962019.7000000002</v>
      </c>
      <c r="H188" s="24">
        <f t="shared" si="8"/>
        <v>1413510</v>
      </c>
      <c r="I188" s="24">
        <f t="shared" si="8"/>
        <v>9375529.6999999974</v>
      </c>
      <c r="J188" s="58" t="e">
        <f>+#REF!+#REF!+#REF!+#REF!</f>
        <v>#REF!</v>
      </c>
      <c r="K188" s="58"/>
    </row>
    <row r="189" spans="1:13" s="1" customFormat="1" ht="15.75" x14ac:dyDescent="0.2">
      <c r="A189" s="7"/>
      <c r="B189" s="8"/>
      <c r="C189" s="9"/>
      <c r="D189" s="9"/>
      <c r="E189" s="31" t="s">
        <v>51</v>
      </c>
      <c r="F189" s="9"/>
      <c r="G189" s="10"/>
      <c r="H189" s="11"/>
      <c r="I189" s="11"/>
      <c r="J189" s="58" t="e">
        <f>+#REF!+#REF!+#REF!+#REF!</f>
        <v>#REF!</v>
      </c>
      <c r="K189" s="58"/>
    </row>
    <row r="190" spans="1:13" s="1" customFormat="1" ht="45" x14ac:dyDescent="0.2">
      <c r="A190" s="7">
        <v>1</v>
      </c>
      <c r="B190" s="38">
        <v>44559</v>
      </c>
      <c r="C190" s="9" t="s">
        <v>1143</v>
      </c>
      <c r="D190" s="9" t="s">
        <v>51</v>
      </c>
      <c r="E190" s="9" t="s">
        <v>1144</v>
      </c>
      <c r="F190" s="9" t="s">
        <v>39</v>
      </c>
      <c r="G190" s="54">
        <v>235020</v>
      </c>
      <c r="H190" s="54">
        <v>0</v>
      </c>
      <c r="I190" s="54">
        <f t="shared" ref="I190:I227" si="9">+G190+H190</f>
        <v>235020</v>
      </c>
      <c r="J190" s="58" t="e">
        <f>+#REF!+#REF!+#REF!+#REF!</f>
        <v>#REF!</v>
      </c>
      <c r="K190" s="8">
        <v>44571</v>
      </c>
    </row>
    <row r="191" spans="1:13" s="1" customFormat="1" ht="45" x14ac:dyDescent="0.2">
      <c r="A191" s="7">
        <v>2</v>
      </c>
      <c r="B191" s="38">
        <v>44561</v>
      </c>
      <c r="C191" s="9"/>
      <c r="D191" s="9" t="s">
        <v>51</v>
      </c>
      <c r="E191" s="9" t="s">
        <v>2162</v>
      </c>
      <c r="F191" s="9" t="s">
        <v>39</v>
      </c>
      <c r="G191" s="54">
        <v>42304</v>
      </c>
      <c r="H191" s="54">
        <v>0</v>
      </c>
      <c r="I191" s="54">
        <f t="shared" si="9"/>
        <v>42304</v>
      </c>
      <c r="J191" s="58" t="e">
        <f>+#REF!+#REF!+#REF!+#REF!</f>
        <v>#REF!</v>
      </c>
      <c r="K191" s="8"/>
    </row>
    <row r="192" spans="1:13" s="1" customFormat="1" ht="45" x14ac:dyDescent="0.2">
      <c r="A192" s="7">
        <v>3</v>
      </c>
      <c r="B192" s="38">
        <v>44608</v>
      </c>
      <c r="C192" s="9">
        <v>795</v>
      </c>
      <c r="D192" s="9" t="s">
        <v>51</v>
      </c>
      <c r="E192" s="9" t="s">
        <v>65</v>
      </c>
      <c r="F192" s="9" t="s">
        <v>42</v>
      </c>
      <c r="G192" s="54">
        <v>16242</v>
      </c>
      <c r="H192" s="54">
        <v>2924</v>
      </c>
      <c r="I192" s="54">
        <f t="shared" si="9"/>
        <v>19166</v>
      </c>
      <c r="J192" s="58" t="e">
        <f>+#REF!+#REF!+#REF!+#REF!</f>
        <v>#REF!</v>
      </c>
      <c r="K192" s="8">
        <v>44629</v>
      </c>
    </row>
    <row r="193" spans="1:11" s="1" customFormat="1" ht="75" x14ac:dyDescent="0.2">
      <c r="A193" s="7">
        <v>4</v>
      </c>
      <c r="B193" s="38">
        <v>44614</v>
      </c>
      <c r="C193" s="9">
        <v>807</v>
      </c>
      <c r="D193" s="9" t="s">
        <v>51</v>
      </c>
      <c r="E193" s="9" t="s">
        <v>66</v>
      </c>
      <c r="F193" s="9" t="s">
        <v>42</v>
      </c>
      <c r="G193" s="54">
        <v>13678</v>
      </c>
      <c r="H193" s="54">
        <v>2462</v>
      </c>
      <c r="I193" s="54">
        <f t="shared" si="9"/>
        <v>16140</v>
      </c>
      <c r="J193" s="58" t="e">
        <f>+#REF!+#REF!+#REF!+#REF!</f>
        <v>#REF!</v>
      </c>
      <c r="K193" s="8">
        <v>44629</v>
      </c>
    </row>
    <row r="194" spans="1:11" s="1" customFormat="1" ht="45" x14ac:dyDescent="0.2">
      <c r="A194" s="7">
        <v>5</v>
      </c>
      <c r="B194" s="38">
        <v>44641</v>
      </c>
      <c r="C194" s="9"/>
      <c r="D194" s="9" t="s">
        <v>51</v>
      </c>
      <c r="E194" s="9" t="s">
        <v>67</v>
      </c>
      <c r="F194" s="9" t="s">
        <v>68</v>
      </c>
      <c r="G194" s="54">
        <v>6500</v>
      </c>
      <c r="H194" s="54">
        <v>0</v>
      </c>
      <c r="I194" s="54">
        <f t="shared" si="9"/>
        <v>6500</v>
      </c>
      <c r="J194" s="58" t="e">
        <f>+#REF!+#REF!+#REF!+#REF!</f>
        <v>#REF!</v>
      </c>
      <c r="K194" s="38">
        <v>44641</v>
      </c>
    </row>
    <row r="195" spans="1:11" s="1" customFormat="1" ht="45" x14ac:dyDescent="0.2">
      <c r="A195" s="7">
        <v>6</v>
      </c>
      <c r="B195" s="38">
        <v>44648</v>
      </c>
      <c r="C195" s="9"/>
      <c r="D195" s="9" t="s">
        <v>51</v>
      </c>
      <c r="E195" s="9" t="s">
        <v>69</v>
      </c>
      <c r="F195" s="9" t="s">
        <v>70</v>
      </c>
      <c r="G195" s="54">
        <v>6400</v>
      </c>
      <c r="H195" s="54">
        <v>0</v>
      </c>
      <c r="I195" s="54">
        <f t="shared" si="9"/>
        <v>6400</v>
      </c>
      <c r="J195" s="58" t="e">
        <f>+#REF!+#REF!+#REF!+#REF!</f>
        <v>#REF!</v>
      </c>
      <c r="K195" s="38">
        <v>44648</v>
      </c>
    </row>
    <row r="196" spans="1:11" s="1" customFormat="1" ht="45" x14ac:dyDescent="0.2">
      <c r="A196" s="7">
        <v>7</v>
      </c>
      <c r="B196" s="38">
        <v>44672</v>
      </c>
      <c r="C196" s="9" t="s">
        <v>186</v>
      </c>
      <c r="D196" s="9" t="s">
        <v>51</v>
      </c>
      <c r="E196" s="9" t="s">
        <v>187</v>
      </c>
      <c r="F196" s="9" t="s">
        <v>188</v>
      </c>
      <c r="G196" s="54">
        <v>33000</v>
      </c>
      <c r="H196" s="54">
        <v>5940</v>
      </c>
      <c r="I196" s="54">
        <f t="shared" si="9"/>
        <v>38940</v>
      </c>
      <c r="J196" s="58" t="e">
        <f>+#REF!+#REF!+#REF!+#REF!</f>
        <v>#REF!</v>
      </c>
      <c r="K196" s="8">
        <v>44676</v>
      </c>
    </row>
    <row r="197" spans="1:11" s="1" customFormat="1" ht="45" x14ac:dyDescent="0.2">
      <c r="A197" s="7">
        <v>8</v>
      </c>
      <c r="B197" s="38">
        <v>44673</v>
      </c>
      <c r="C197" s="9" t="s">
        <v>189</v>
      </c>
      <c r="D197" s="9" t="s">
        <v>51</v>
      </c>
      <c r="E197" s="9" t="s">
        <v>187</v>
      </c>
      <c r="F197" s="9" t="s">
        <v>188</v>
      </c>
      <c r="G197" s="54">
        <v>20000</v>
      </c>
      <c r="H197" s="54">
        <v>3600</v>
      </c>
      <c r="I197" s="54">
        <f t="shared" si="9"/>
        <v>23600</v>
      </c>
      <c r="J197" s="58" t="e">
        <f>+#REF!+#REF!+#REF!+#REF!</f>
        <v>#REF!</v>
      </c>
      <c r="K197" s="8">
        <v>44676</v>
      </c>
    </row>
    <row r="198" spans="1:11" s="1" customFormat="1" ht="45" x14ac:dyDescent="0.2">
      <c r="A198" s="7">
        <v>9</v>
      </c>
      <c r="B198" s="38">
        <v>44659</v>
      </c>
      <c r="C198" s="9" t="s">
        <v>190</v>
      </c>
      <c r="D198" s="9" t="s">
        <v>51</v>
      </c>
      <c r="E198" s="9" t="s">
        <v>191</v>
      </c>
      <c r="F198" s="9" t="s">
        <v>43</v>
      </c>
      <c r="G198" s="54">
        <v>9108.0499999999993</v>
      </c>
      <c r="H198" s="54">
        <v>1640</v>
      </c>
      <c r="I198" s="54">
        <f t="shared" si="9"/>
        <v>10748.05</v>
      </c>
      <c r="J198" s="58" t="e">
        <f>+#REF!+#REF!+#REF!+#REF!-0.05</f>
        <v>#REF!</v>
      </c>
      <c r="K198" s="8">
        <v>44712</v>
      </c>
    </row>
    <row r="199" spans="1:11" s="1" customFormat="1" ht="45" x14ac:dyDescent="0.2">
      <c r="A199" s="7">
        <v>10</v>
      </c>
      <c r="B199" s="38">
        <v>44695</v>
      </c>
      <c r="C199" s="9" t="s">
        <v>192</v>
      </c>
      <c r="D199" s="9" t="s">
        <v>51</v>
      </c>
      <c r="E199" s="9" t="s">
        <v>193</v>
      </c>
      <c r="F199" s="9" t="s">
        <v>43</v>
      </c>
      <c r="G199" s="54">
        <v>6050</v>
      </c>
      <c r="H199" s="54">
        <v>1090</v>
      </c>
      <c r="I199" s="54">
        <f t="shared" si="9"/>
        <v>7140</v>
      </c>
      <c r="J199" s="58" t="e">
        <f>+#REF!+#REF!+#REF!+#REF!-1</f>
        <v>#REF!</v>
      </c>
      <c r="K199" s="8">
        <v>44734</v>
      </c>
    </row>
    <row r="200" spans="1:11" s="1" customFormat="1" ht="45" x14ac:dyDescent="0.2">
      <c r="A200" s="7">
        <v>11</v>
      </c>
      <c r="B200" s="38">
        <v>44712</v>
      </c>
      <c r="C200" s="9" t="s">
        <v>194</v>
      </c>
      <c r="D200" s="9" t="s">
        <v>51</v>
      </c>
      <c r="E200" s="9" t="s">
        <v>195</v>
      </c>
      <c r="F200" s="9" t="s">
        <v>43</v>
      </c>
      <c r="G200" s="54">
        <v>7245.76</v>
      </c>
      <c r="H200" s="54">
        <v>1304</v>
      </c>
      <c r="I200" s="54">
        <f t="shared" si="9"/>
        <v>8549.76</v>
      </c>
      <c r="J200" s="58" t="e">
        <f>+#REF!+#REF!+#REF!+#REF!+0.24</f>
        <v>#REF!</v>
      </c>
      <c r="K200" s="8">
        <v>44734</v>
      </c>
    </row>
    <row r="201" spans="1:11" s="1" customFormat="1" ht="45" x14ac:dyDescent="0.2">
      <c r="A201" s="7">
        <v>12</v>
      </c>
      <c r="B201" s="38">
        <v>44688</v>
      </c>
      <c r="C201" s="9" t="s">
        <v>196</v>
      </c>
      <c r="D201" s="9" t="s">
        <v>51</v>
      </c>
      <c r="E201" s="9" t="s">
        <v>197</v>
      </c>
      <c r="F201" s="9" t="s">
        <v>665</v>
      </c>
      <c r="G201" s="54">
        <v>2796.6</v>
      </c>
      <c r="H201" s="54">
        <f>252*2</f>
        <v>504</v>
      </c>
      <c r="I201" s="54">
        <f t="shared" si="9"/>
        <v>3300.6</v>
      </c>
      <c r="J201" s="58" t="e">
        <f>+#REF!+#REF!+#REF!+#REF!-0.6</f>
        <v>#REF!</v>
      </c>
      <c r="K201" s="8">
        <v>44739</v>
      </c>
    </row>
    <row r="202" spans="1:11" s="1" customFormat="1" ht="60" x14ac:dyDescent="0.2">
      <c r="A202" s="7">
        <v>13</v>
      </c>
      <c r="B202" s="38">
        <v>44672</v>
      </c>
      <c r="C202" s="9" t="s">
        <v>204</v>
      </c>
      <c r="D202" s="9" t="s">
        <v>51</v>
      </c>
      <c r="E202" s="9" t="s">
        <v>205</v>
      </c>
      <c r="F202" s="9" t="s">
        <v>206</v>
      </c>
      <c r="G202" s="54">
        <v>7361.5</v>
      </c>
      <c r="H202" s="54">
        <f>663*2</f>
        <v>1326</v>
      </c>
      <c r="I202" s="54">
        <f t="shared" si="9"/>
        <v>8687.5</v>
      </c>
      <c r="J202" s="58" t="e">
        <f>+#REF!+#REF!+#REF!+#REF!-0.5</f>
        <v>#REF!</v>
      </c>
      <c r="K202" s="8">
        <v>44720</v>
      </c>
    </row>
    <row r="203" spans="1:11" s="1" customFormat="1" ht="45" x14ac:dyDescent="0.2">
      <c r="A203" s="7">
        <v>14</v>
      </c>
      <c r="B203" s="38">
        <v>44856</v>
      </c>
      <c r="C203" s="9">
        <v>63399</v>
      </c>
      <c r="D203" s="9" t="s">
        <v>51</v>
      </c>
      <c r="E203" s="9" t="s">
        <v>207</v>
      </c>
      <c r="F203" s="9" t="s">
        <v>208</v>
      </c>
      <c r="G203" s="54">
        <v>7120</v>
      </c>
      <c r="H203" s="54">
        <f>641*2</f>
        <v>1282</v>
      </c>
      <c r="I203" s="54">
        <f t="shared" si="9"/>
        <v>8402</v>
      </c>
      <c r="J203" s="58" t="e">
        <f>+#REF!+#REF!+#REF!+#REF!</f>
        <v>#REF!</v>
      </c>
      <c r="K203" s="8">
        <v>44877</v>
      </c>
    </row>
    <row r="204" spans="1:11" s="1" customFormat="1" ht="45" x14ac:dyDescent="0.2">
      <c r="A204" s="7">
        <v>15</v>
      </c>
      <c r="B204" s="38">
        <v>44597</v>
      </c>
      <c r="C204" s="9" t="s">
        <v>52</v>
      </c>
      <c r="D204" s="9" t="s">
        <v>51</v>
      </c>
      <c r="E204" s="9" t="s">
        <v>53</v>
      </c>
      <c r="F204" s="9" t="s">
        <v>39</v>
      </c>
      <c r="G204" s="54">
        <v>538793.5</v>
      </c>
      <c r="H204" s="54">
        <f>48491*2</f>
        <v>96982</v>
      </c>
      <c r="I204" s="54">
        <f t="shared" si="9"/>
        <v>635775.5</v>
      </c>
      <c r="J204" s="58" t="e">
        <f>+#REF!+#REF!+#REF!+#REF!+0.5</f>
        <v>#REF!</v>
      </c>
      <c r="K204" s="8">
        <v>44606</v>
      </c>
    </row>
    <row r="205" spans="1:11" s="1" customFormat="1" ht="45" x14ac:dyDescent="0.2">
      <c r="A205" s="7">
        <v>16</v>
      </c>
      <c r="B205" s="38">
        <v>44598</v>
      </c>
      <c r="C205" s="9" t="s">
        <v>54</v>
      </c>
      <c r="D205" s="9" t="s">
        <v>51</v>
      </c>
      <c r="E205" s="9" t="s">
        <v>55</v>
      </c>
      <c r="F205" s="9" t="s">
        <v>39</v>
      </c>
      <c r="G205" s="54">
        <v>428052</v>
      </c>
      <c r="H205" s="54">
        <f>38525*2</f>
        <v>77050</v>
      </c>
      <c r="I205" s="54">
        <f t="shared" si="9"/>
        <v>505102</v>
      </c>
      <c r="J205" s="58" t="e">
        <f>+#REF!+#REF!+#REF!+#REF!-1</f>
        <v>#REF!</v>
      </c>
      <c r="K205" s="8">
        <v>44606</v>
      </c>
    </row>
    <row r="206" spans="1:11" s="1" customFormat="1" ht="60" x14ac:dyDescent="0.2">
      <c r="A206" s="7">
        <v>17</v>
      </c>
      <c r="B206" s="38">
        <v>44599</v>
      </c>
      <c r="C206" s="9" t="s">
        <v>56</v>
      </c>
      <c r="D206" s="9" t="s">
        <v>51</v>
      </c>
      <c r="E206" s="9" t="s">
        <v>57</v>
      </c>
      <c r="F206" s="9" t="s">
        <v>39</v>
      </c>
      <c r="G206" s="54">
        <v>158747.5</v>
      </c>
      <c r="H206" s="54">
        <f>14287*2</f>
        <v>28574</v>
      </c>
      <c r="I206" s="54">
        <f t="shared" si="9"/>
        <v>187321.5</v>
      </c>
      <c r="J206" s="58" t="e">
        <f>+#REF!+#REF!+#REF!+#REF!+0.5</f>
        <v>#REF!</v>
      </c>
      <c r="K206" s="8">
        <v>44606</v>
      </c>
    </row>
    <row r="207" spans="1:11" s="1" customFormat="1" ht="45" x14ac:dyDescent="0.2">
      <c r="A207" s="7">
        <v>18</v>
      </c>
      <c r="B207" s="38">
        <v>44634</v>
      </c>
      <c r="C207" s="9" t="s">
        <v>58</v>
      </c>
      <c r="D207" s="9" t="s">
        <v>51</v>
      </c>
      <c r="E207" s="9" t="s">
        <v>59</v>
      </c>
      <c r="F207" s="9" t="s">
        <v>39</v>
      </c>
      <c r="G207" s="54">
        <v>117129</v>
      </c>
      <c r="H207" s="54">
        <f>10507*2</f>
        <v>21014</v>
      </c>
      <c r="I207" s="54">
        <f t="shared" si="9"/>
        <v>138143</v>
      </c>
      <c r="J207" s="58" t="e">
        <f>+#REF!+#REF!+#REF!+#REF!</f>
        <v>#REF!</v>
      </c>
      <c r="K207" s="8">
        <v>44650</v>
      </c>
    </row>
    <row r="208" spans="1:11" s="1" customFormat="1" ht="60" x14ac:dyDescent="0.2">
      <c r="A208" s="7">
        <v>19</v>
      </c>
      <c r="B208" s="38">
        <v>44620</v>
      </c>
      <c r="C208" s="9" t="s">
        <v>60</v>
      </c>
      <c r="D208" s="9" t="s">
        <v>51</v>
      </c>
      <c r="E208" s="9" t="s">
        <v>61</v>
      </c>
      <c r="F208" s="9" t="s">
        <v>62</v>
      </c>
      <c r="G208" s="54">
        <v>1937500</v>
      </c>
      <c r="H208" s="54">
        <v>348750</v>
      </c>
      <c r="I208" s="54">
        <f t="shared" si="9"/>
        <v>2286250</v>
      </c>
      <c r="J208" s="58" t="e">
        <f>+#REF!+#REF!+#REF!+#REF!</f>
        <v>#REF!</v>
      </c>
      <c r="K208" s="58" t="s">
        <v>1939</v>
      </c>
    </row>
    <row r="209" spans="1:13" s="1" customFormat="1" ht="60" x14ac:dyDescent="0.2">
      <c r="A209" s="7">
        <v>20</v>
      </c>
      <c r="B209" s="38">
        <v>44620</v>
      </c>
      <c r="C209" s="9" t="s">
        <v>63</v>
      </c>
      <c r="D209" s="9" t="s">
        <v>51</v>
      </c>
      <c r="E209" s="9" t="s">
        <v>64</v>
      </c>
      <c r="F209" s="9" t="s">
        <v>62</v>
      </c>
      <c r="G209" s="54">
        <v>775000</v>
      </c>
      <c r="H209" s="54">
        <v>139500</v>
      </c>
      <c r="I209" s="54">
        <f t="shared" si="9"/>
        <v>914500</v>
      </c>
      <c r="J209" s="58" t="e">
        <f>+#REF!+#REF!+#REF!+#REF!</f>
        <v>#REF!</v>
      </c>
      <c r="K209" s="8">
        <v>44592</v>
      </c>
    </row>
    <row r="210" spans="1:13" s="1" customFormat="1" ht="45" x14ac:dyDescent="0.2">
      <c r="A210" s="7">
        <v>21</v>
      </c>
      <c r="B210" s="38">
        <v>44809</v>
      </c>
      <c r="C210" s="9"/>
      <c r="D210" s="9" t="s">
        <v>51</v>
      </c>
      <c r="E210" s="9" t="s">
        <v>185</v>
      </c>
      <c r="F210" s="9" t="s">
        <v>62</v>
      </c>
      <c r="G210" s="54">
        <v>968750</v>
      </c>
      <c r="H210" s="54">
        <v>174375</v>
      </c>
      <c r="I210" s="54">
        <f t="shared" si="9"/>
        <v>1143125</v>
      </c>
      <c r="J210" s="58" t="e">
        <f>+#REF!+#REF!+#REF!+#REF!</f>
        <v>#REF!</v>
      </c>
      <c r="K210" s="58" t="s">
        <v>1941</v>
      </c>
    </row>
    <row r="211" spans="1:13" s="1" customFormat="1" ht="60" x14ac:dyDescent="0.2">
      <c r="A211" s="7">
        <v>22</v>
      </c>
      <c r="B211" s="38">
        <v>44669</v>
      </c>
      <c r="C211" s="9" t="s">
        <v>132</v>
      </c>
      <c r="D211" s="9" t="s">
        <v>51</v>
      </c>
      <c r="E211" s="9" t="s">
        <v>133</v>
      </c>
      <c r="F211" s="9" t="s">
        <v>145</v>
      </c>
      <c r="G211" s="54">
        <v>41730</v>
      </c>
      <c r="H211" s="54">
        <v>7512</v>
      </c>
      <c r="I211" s="54">
        <f t="shared" si="9"/>
        <v>49242</v>
      </c>
      <c r="J211" s="58" t="e">
        <f>+#REF!+#REF!+#REF!+#REF!</f>
        <v>#REF!</v>
      </c>
      <c r="K211" s="8">
        <v>44671</v>
      </c>
    </row>
    <row r="212" spans="1:13" s="1" customFormat="1" ht="75" x14ac:dyDescent="0.2">
      <c r="A212" s="7">
        <v>23</v>
      </c>
      <c r="B212" s="38">
        <v>44688</v>
      </c>
      <c r="C212" s="9" t="s">
        <v>134</v>
      </c>
      <c r="D212" s="9" t="s">
        <v>51</v>
      </c>
      <c r="E212" s="9" t="s">
        <v>285</v>
      </c>
      <c r="F212" s="9" t="s">
        <v>145</v>
      </c>
      <c r="G212" s="54">
        <v>566206</v>
      </c>
      <c r="H212" s="54">
        <v>101918</v>
      </c>
      <c r="I212" s="54">
        <f t="shared" si="9"/>
        <v>668124</v>
      </c>
      <c r="J212" s="58" t="e">
        <f>+#REF!+#REF!+#REF!+#REF!</f>
        <v>#REF!</v>
      </c>
      <c r="K212" s="8">
        <v>44694</v>
      </c>
    </row>
    <row r="213" spans="1:13" s="1" customFormat="1" ht="45" x14ac:dyDescent="0.2">
      <c r="A213" s="7">
        <v>24</v>
      </c>
      <c r="B213" s="38">
        <v>44874</v>
      </c>
      <c r="C213" s="9" t="s">
        <v>418</v>
      </c>
      <c r="D213" s="9" t="s">
        <v>51</v>
      </c>
      <c r="E213" s="9" t="s">
        <v>419</v>
      </c>
      <c r="F213" s="9" t="s">
        <v>62</v>
      </c>
      <c r="G213" s="54">
        <v>193750</v>
      </c>
      <c r="H213" s="54">
        <v>34875</v>
      </c>
      <c r="I213" s="54">
        <f t="shared" si="9"/>
        <v>228625</v>
      </c>
      <c r="J213" s="58" t="e">
        <f>+#REF!+#REF!+#REF!+#REF!</f>
        <v>#REF!</v>
      </c>
      <c r="K213" s="58" t="s">
        <v>1940</v>
      </c>
    </row>
    <row r="214" spans="1:13" s="1" customFormat="1" ht="45" x14ac:dyDescent="0.2">
      <c r="A214" s="7">
        <v>25</v>
      </c>
      <c r="B214" s="38">
        <v>44874</v>
      </c>
      <c r="C214" s="9"/>
      <c r="D214" s="9" t="s">
        <v>51</v>
      </c>
      <c r="E214" s="9" t="s">
        <v>420</v>
      </c>
      <c r="F214" s="9" t="s">
        <v>814</v>
      </c>
      <c r="G214" s="54">
        <v>150</v>
      </c>
      <c r="H214" s="54">
        <v>0</v>
      </c>
      <c r="I214" s="54">
        <f t="shared" si="9"/>
        <v>150</v>
      </c>
      <c r="J214" s="58" t="e">
        <f>+#REF!+#REF!+#REF!+#REF!</f>
        <v>#REF!</v>
      </c>
      <c r="K214" s="8">
        <v>44874</v>
      </c>
    </row>
    <row r="215" spans="1:13" s="1" customFormat="1" ht="45" x14ac:dyDescent="0.2">
      <c r="A215" s="7">
        <v>26</v>
      </c>
      <c r="B215" s="38">
        <v>44887</v>
      </c>
      <c r="C215" s="9">
        <v>63947</v>
      </c>
      <c r="D215" s="9" t="s">
        <v>51</v>
      </c>
      <c r="E215" s="9" t="s">
        <v>978</v>
      </c>
      <c r="F215" s="9" t="s">
        <v>208</v>
      </c>
      <c r="G215" s="54">
        <v>2710</v>
      </c>
      <c r="H215" s="54">
        <f>244+244</f>
        <v>488</v>
      </c>
      <c r="I215" s="54">
        <f t="shared" si="9"/>
        <v>3198</v>
      </c>
      <c r="J215" s="58" t="e">
        <f>+#REF!+#REF!+#REF!+#REF!</f>
        <v>#REF!</v>
      </c>
      <c r="K215" s="8">
        <v>44908</v>
      </c>
    </row>
    <row r="216" spans="1:13" s="1" customFormat="1" ht="135" x14ac:dyDescent="0.2">
      <c r="A216" s="7">
        <v>27</v>
      </c>
      <c r="B216" s="38">
        <v>44895</v>
      </c>
      <c r="C216" s="9">
        <v>64058</v>
      </c>
      <c r="D216" s="9" t="s">
        <v>51</v>
      </c>
      <c r="E216" s="9" t="s">
        <v>494</v>
      </c>
      <c r="F216" s="9" t="s">
        <v>208</v>
      </c>
      <c r="G216" s="54">
        <v>17278.759999999998</v>
      </c>
      <c r="H216" s="54">
        <f>1555*2</f>
        <v>3110</v>
      </c>
      <c r="I216" s="54">
        <f t="shared" si="9"/>
        <v>20388.759999999998</v>
      </c>
      <c r="J216" s="58" t="e">
        <f>+#REF!+#REF!+#REF!+#REF!+0.24</f>
        <v>#REF!</v>
      </c>
      <c r="K216" s="8">
        <v>44908</v>
      </c>
    </row>
    <row r="217" spans="1:13" s="1" customFormat="1" ht="150" x14ac:dyDescent="0.2">
      <c r="A217" s="7">
        <v>28</v>
      </c>
      <c r="B217" s="38">
        <v>44842</v>
      </c>
      <c r="C217" s="9">
        <v>63098</v>
      </c>
      <c r="D217" s="9" t="s">
        <v>51</v>
      </c>
      <c r="E217" s="9" t="s">
        <v>233</v>
      </c>
      <c r="F217" s="9" t="s">
        <v>208</v>
      </c>
      <c r="G217" s="54">
        <v>25130.5</v>
      </c>
      <c r="H217" s="54">
        <f>2262*2</f>
        <v>4524</v>
      </c>
      <c r="I217" s="54">
        <f t="shared" si="9"/>
        <v>29654.5</v>
      </c>
      <c r="J217" s="58" t="e">
        <f>+#REF!+#REF!+#REF!+#REF!-0.5</f>
        <v>#REF!</v>
      </c>
      <c r="K217" s="8">
        <v>44877</v>
      </c>
    </row>
    <row r="218" spans="1:13" s="1" customFormat="1" ht="45" x14ac:dyDescent="0.2">
      <c r="A218" s="7">
        <v>29</v>
      </c>
      <c r="B218" s="38">
        <v>44842</v>
      </c>
      <c r="C218" s="9">
        <v>63108</v>
      </c>
      <c r="D218" s="9" t="s">
        <v>51</v>
      </c>
      <c r="E218" s="9" t="s">
        <v>234</v>
      </c>
      <c r="F218" s="9" t="s">
        <v>208</v>
      </c>
      <c r="G218" s="54">
        <v>50634</v>
      </c>
      <c r="H218" s="54">
        <f>4557*2</f>
        <v>9114</v>
      </c>
      <c r="I218" s="54">
        <f t="shared" si="9"/>
        <v>59748</v>
      </c>
      <c r="J218" s="58" t="e">
        <f>+#REF!+#REF!+#REF!+#REF!</f>
        <v>#REF!</v>
      </c>
      <c r="K218" s="8">
        <v>44877</v>
      </c>
    </row>
    <row r="219" spans="1:13" s="1" customFormat="1" ht="120" x14ac:dyDescent="0.2">
      <c r="A219" s="7">
        <v>30</v>
      </c>
      <c r="B219" s="38">
        <v>44775</v>
      </c>
      <c r="C219" s="9" t="s">
        <v>263</v>
      </c>
      <c r="D219" s="9" t="s">
        <v>51</v>
      </c>
      <c r="E219" s="9" t="s">
        <v>264</v>
      </c>
      <c r="F219" s="9" t="s">
        <v>265</v>
      </c>
      <c r="G219" s="54">
        <v>1251500</v>
      </c>
      <c r="H219" s="54">
        <f>112635*2</f>
        <v>225270</v>
      </c>
      <c r="I219" s="54">
        <f t="shared" si="9"/>
        <v>1476770</v>
      </c>
      <c r="J219" s="58" t="e">
        <f>+#REF!+#REF!+#REF!+#REF!</f>
        <v>#REF!</v>
      </c>
      <c r="K219" s="8" t="s">
        <v>1949</v>
      </c>
    </row>
    <row r="220" spans="1:13" s="1" customFormat="1" ht="45" x14ac:dyDescent="0.2">
      <c r="A220" s="7">
        <v>31</v>
      </c>
      <c r="B220" s="38">
        <v>44885</v>
      </c>
      <c r="C220" s="9" t="s">
        <v>451</v>
      </c>
      <c r="D220" s="9" t="s">
        <v>51</v>
      </c>
      <c r="E220" s="9" t="s">
        <v>452</v>
      </c>
      <c r="F220" s="9" t="s">
        <v>46</v>
      </c>
      <c r="G220" s="54">
        <v>409735</v>
      </c>
      <c r="H220" s="54">
        <f>36876*2</f>
        <v>73752</v>
      </c>
      <c r="I220" s="54">
        <f t="shared" si="9"/>
        <v>483487</v>
      </c>
      <c r="J220" s="58" t="e">
        <f>+#REF!+#REF!+#REF!+#REF!</f>
        <v>#REF!</v>
      </c>
      <c r="K220" s="8">
        <v>44929</v>
      </c>
      <c r="L220" s="55"/>
      <c r="M220" s="55"/>
    </row>
    <row r="221" spans="1:13" s="1" customFormat="1" ht="75" x14ac:dyDescent="0.2">
      <c r="A221" s="7">
        <v>32</v>
      </c>
      <c r="B221" s="38">
        <v>44851</v>
      </c>
      <c r="C221" s="9" t="s">
        <v>577</v>
      </c>
      <c r="D221" s="9" t="s">
        <v>51</v>
      </c>
      <c r="E221" s="9" t="s">
        <v>578</v>
      </c>
      <c r="F221" s="9" t="s">
        <v>447</v>
      </c>
      <c r="G221" s="54">
        <v>58164.76</v>
      </c>
      <c r="H221" s="54">
        <f>5235*2</f>
        <v>10470</v>
      </c>
      <c r="I221" s="54">
        <f t="shared" si="9"/>
        <v>68634.760000000009</v>
      </c>
      <c r="J221" s="58" t="e">
        <f>+#REF!+#REF!+#REF!+#REF!-0.76</f>
        <v>#REF!</v>
      </c>
      <c r="K221" s="8">
        <v>44881</v>
      </c>
    </row>
    <row r="222" spans="1:13" s="1" customFormat="1" ht="60" x14ac:dyDescent="0.2">
      <c r="A222" s="7">
        <v>33</v>
      </c>
      <c r="B222" s="38">
        <v>44903</v>
      </c>
      <c r="C222" s="9">
        <v>64210</v>
      </c>
      <c r="D222" s="9" t="s">
        <v>51</v>
      </c>
      <c r="E222" s="9" t="s">
        <v>633</v>
      </c>
      <c r="F222" s="9" t="s">
        <v>208</v>
      </c>
      <c r="G222" s="54">
        <v>4465.3999999999996</v>
      </c>
      <c r="H222" s="54">
        <f>402*2</f>
        <v>804</v>
      </c>
      <c r="I222" s="54">
        <f t="shared" si="9"/>
        <v>5269.4</v>
      </c>
      <c r="J222" s="58" t="e">
        <f>+#REF!+#REF!+#REF!+#REF!-0.4</f>
        <v>#REF!</v>
      </c>
      <c r="K222" s="8">
        <v>44954</v>
      </c>
    </row>
    <row r="223" spans="1:13" s="1" customFormat="1" ht="45" x14ac:dyDescent="0.2">
      <c r="A223" s="7">
        <v>34</v>
      </c>
      <c r="B223" s="38">
        <v>44903</v>
      </c>
      <c r="C223" s="9">
        <v>64279</v>
      </c>
      <c r="D223" s="9" t="s">
        <v>51</v>
      </c>
      <c r="E223" s="9" t="s">
        <v>634</v>
      </c>
      <c r="F223" s="9" t="s">
        <v>208</v>
      </c>
      <c r="G223" s="54">
        <v>112</v>
      </c>
      <c r="H223" s="54">
        <f>10*2</f>
        <v>20</v>
      </c>
      <c r="I223" s="54">
        <f t="shared" si="9"/>
        <v>132</v>
      </c>
      <c r="J223" s="58" t="e">
        <f>+#REF!+#REF!+#REF!+#REF!</f>
        <v>#REF!</v>
      </c>
      <c r="K223" s="8">
        <v>44954</v>
      </c>
    </row>
    <row r="224" spans="1:13" s="1" customFormat="1" ht="45" x14ac:dyDescent="0.2">
      <c r="A224" s="7">
        <v>35</v>
      </c>
      <c r="B224" s="38">
        <v>44970</v>
      </c>
      <c r="C224" s="9" t="s">
        <v>893</v>
      </c>
      <c r="D224" s="9" t="s">
        <v>51</v>
      </c>
      <c r="E224" s="9" t="s">
        <v>894</v>
      </c>
      <c r="F224" s="9" t="s">
        <v>447</v>
      </c>
      <c r="G224" s="54">
        <v>633.5</v>
      </c>
      <c r="H224" s="54">
        <f>57+57</f>
        <v>114</v>
      </c>
      <c r="I224" s="54">
        <f t="shared" si="9"/>
        <v>747.5</v>
      </c>
      <c r="J224" s="58" t="e">
        <f>+#REF!+#REF!+#REF!+#REF!+0.5</f>
        <v>#REF!</v>
      </c>
      <c r="K224" s="8">
        <v>45008</v>
      </c>
    </row>
    <row r="225" spans="1:11" s="1" customFormat="1" ht="75" x14ac:dyDescent="0.2">
      <c r="A225" s="7">
        <v>36</v>
      </c>
      <c r="B225" s="38">
        <v>44982</v>
      </c>
      <c r="C225" s="9">
        <v>65896</v>
      </c>
      <c r="D225" s="9" t="s">
        <v>51</v>
      </c>
      <c r="E225" s="9" t="s">
        <v>1019</v>
      </c>
      <c r="F225" s="9" t="s">
        <v>208</v>
      </c>
      <c r="G225" s="54">
        <v>11661.9</v>
      </c>
      <c r="H225" s="54">
        <f>1050+1050</f>
        <v>2100</v>
      </c>
      <c r="I225" s="54">
        <f t="shared" si="9"/>
        <v>13761.9</v>
      </c>
      <c r="J225" s="58" t="e">
        <f>+#REF!+#REF!+#REF!+#REF!-0.9</f>
        <v>#REF!</v>
      </c>
      <c r="K225" s="8">
        <v>45008</v>
      </c>
    </row>
    <row r="226" spans="1:11" s="1" customFormat="1" ht="45" x14ac:dyDescent="0.2">
      <c r="A226" s="7">
        <v>37</v>
      </c>
      <c r="B226" s="38">
        <v>44991</v>
      </c>
      <c r="C226" s="9" t="s">
        <v>1029</v>
      </c>
      <c r="D226" s="9" t="s">
        <v>51</v>
      </c>
      <c r="E226" s="9" t="s">
        <v>1030</v>
      </c>
      <c r="F226" s="9" t="s">
        <v>447</v>
      </c>
      <c r="G226" s="54">
        <v>10301.74</v>
      </c>
      <c r="H226" s="54">
        <f>927+927</f>
        <v>1854</v>
      </c>
      <c r="I226" s="54">
        <f t="shared" si="9"/>
        <v>12155.74</v>
      </c>
      <c r="J226" s="58" t="e">
        <f>+#REF!+#REF!+#REF!+#REF!+0.26</f>
        <v>#REF!</v>
      </c>
      <c r="K226" s="8">
        <v>45043</v>
      </c>
    </row>
    <row r="227" spans="1:11" s="1" customFormat="1" ht="45" x14ac:dyDescent="0.2">
      <c r="A227" s="7">
        <v>38</v>
      </c>
      <c r="B227" s="38">
        <v>45077</v>
      </c>
      <c r="C227" s="9" t="s">
        <v>1653</v>
      </c>
      <c r="D227" s="9" t="s">
        <v>51</v>
      </c>
      <c r="E227" s="9" t="s">
        <v>1654</v>
      </c>
      <c r="F227" s="9" t="s">
        <v>46</v>
      </c>
      <c r="G227" s="54">
        <v>50000</v>
      </c>
      <c r="H227" s="54">
        <f>4500+4500</f>
        <v>9000</v>
      </c>
      <c r="I227" s="54">
        <f t="shared" si="9"/>
        <v>59000</v>
      </c>
      <c r="J227" s="58" t="e">
        <f>+#REF!+#REF!+#REF!+#REF!</f>
        <v>#REF!</v>
      </c>
      <c r="K227" s="8" t="s">
        <v>1933</v>
      </c>
    </row>
    <row r="228" spans="1:11" s="21" customFormat="1" ht="15.75" x14ac:dyDescent="0.25">
      <c r="A228" s="18"/>
      <c r="B228" s="19"/>
      <c r="C228" s="20"/>
      <c r="D228" s="20"/>
      <c r="E228" s="20"/>
      <c r="F228" s="27" t="s">
        <v>593</v>
      </c>
      <c r="G228" s="24">
        <f t="shared" ref="G228:I228" si="10">SUM(G190:G227)</f>
        <v>8030961.4700000007</v>
      </c>
      <c r="H228" s="24">
        <f t="shared" si="10"/>
        <v>1393242</v>
      </c>
      <c r="I228" s="24">
        <f t="shared" si="10"/>
        <v>9424203.4700000007</v>
      </c>
      <c r="J228" s="58" t="e">
        <f>+#REF!+#REF!+#REF!+#REF!</f>
        <v>#REF!</v>
      </c>
      <c r="K228" s="58"/>
    </row>
    <row r="229" spans="1:11" s="1" customFormat="1" ht="15.75" x14ac:dyDescent="0.2">
      <c r="A229" s="7"/>
      <c r="B229" s="8"/>
      <c r="C229" s="9"/>
      <c r="D229" s="9"/>
      <c r="E229" s="30" t="s">
        <v>71</v>
      </c>
      <c r="F229" s="9"/>
      <c r="G229" s="10"/>
      <c r="H229" s="11"/>
      <c r="I229" s="11"/>
      <c r="J229" s="58" t="e">
        <f>+#REF!+#REF!+#REF!+#REF!</f>
        <v>#REF!</v>
      </c>
      <c r="K229" s="58"/>
    </row>
    <row r="230" spans="1:11" s="1" customFormat="1" ht="60" x14ac:dyDescent="0.2">
      <c r="A230" s="7">
        <v>1</v>
      </c>
      <c r="B230" s="38">
        <v>44623</v>
      </c>
      <c r="C230" s="9">
        <v>168</v>
      </c>
      <c r="D230" s="9" t="s">
        <v>71</v>
      </c>
      <c r="E230" s="9" t="s">
        <v>77</v>
      </c>
      <c r="F230" s="9" t="s">
        <v>78</v>
      </c>
      <c r="G230" s="54">
        <v>82600</v>
      </c>
      <c r="H230" s="54">
        <v>14868</v>
      </c>
      <c r="I230" s="54">
        <f t="shared" ref="I230:I291" si="11">+G230+H230</f>
        <v>97468</v>
      </c>
      <c r="J230" s="58" t="e">
        <f>+#REF!+#REF!+#REF!+#REF!</f>
        <v>#REF!</v>
      </c>
      <c r="K230" s="58" t="s">
        <v>1945</v>
      </c>
    </row>
    <row r="231" spans="1:11" s="1" customFormat="1" ht="45" x14ac:dyDescent="0.2">
      <c r="A231" s="7">
        <v>2</v>
      </c>
      <c r="B231" s="38">
        <v>44642</v>
      </c>
      <c r="C231" s="9"/>
      <c r="D231" s="9" t="s">
        <v>71</v>
      </c>
      <c r="E231" s="9" t="s">
        <v>79</v>
      </c>
      <c r="F231" s="9" t="s">
        <v>80</v>
      </c>
      <c r="G231" s="54">
        <v>14000</v>
      </c>
      <c r="H231" s="54">
        <v>0</v>
      </c>
      <c r="I231" s="54">
        <f t="shared" si="11"/>
        <v>14000</v>
      </c>
      <c r="J231" s="58" t="e">
        <f>+#REF!+#REF!+#REF!+#REF!</f>
        <v>#REF!</v>
      </c>
      <c r="K231" s="8">
        <v>44642</v>
      </c>
    </row>
    <row r="232" spans="1:11" s="1" customFormat="1" ht="45" x14ac:dyDescent="0.2">
      <c r="A232" s="7">
        <v>3</v>
      </c>
      <c r="B232" s="38">
        <v>44736</v>
      </c>
      <c r="C232" s="9" t="s">
        <v>209</v>
      </c>
      <c r="D232" s="9" t="s">
        <v>71</v>
      </c>
      <c r="E232" s="9" t="s">
        <v>210</v>
      </c>
      <c r="F232" s="9" t="s">
        <v>211</v>
      </c>
      <c r="G232" s="54">
        <v>3360</v>
      </c>
      <c r="H232" s="54">
        <f>302*2</f>
        <v>604</v>
      </c>
      <c r="I232" s="54">
        <f t="shared" si="11"/>
        <v>3964</v>
      </c>
      <c r="J232" s="58" t="e">
        <f>+#REF!+#REF!+#REF!+#REF!+1</f>
        <v>#REF!</v>
      </c>
      <c r="K232" s="8">
        <v>44764</v>
      </c>
    </row>
    <row r="233" spans="1:11" s="1" customFormat="1" ht="45" x14ac:dyDescent="0.2">
      <c r="A233" s="7">
        <v>4</v>
      </c>
      <c r="B233" s="38">
        <v>44798</v>
      </c>
      <c r="C233" s="9">
        <v>69</v>
      </c>
      <c r="D233" s="9" t="s">
        <v>71</v>
      </c>
      <c r="E233" s="9" t="s">
        <v>215</v>
      </c>
      <c r="F233" s="9" t="s">
        <v>78</v>
      </c>
      <c r="G233" s="54">
        <v>101256</v>
      </c>
      <c r="H233" s="54">
        <v>18226</v>
      </c>
      <c r="I233" s="54">
        <f t="shared" si="11"/>
        <v>119482</v>
      </c>
      <c r="J233" s="58" t="e">
        <f>+#REF!+#REF!+#REF!+#REF!</f>
        <v>#REF!</v>
      </c>
      <c r="K233" s="58" t="s">
        <v>1944</v>
      </c>
    </row>
    <row r="234" spans="1:11" s="1" customFormat="1" ht="60" x14ac:dyDescent="0.2">
      <c r="A234" s="7">
        <v>5</v>
      </c>
      <c r="B234" s="38">
        <v>44693</v>
      </c>
      <c r="C234" s="9" t="s">
        <v>216</v>
      </c>
      <c r="D234" s="9" t="s">
        <v>71</v>
      </c>
      <c r="E234" s="9" t="s">
        <v>217</v>
      </c>
      <c r="F234" s="9" t="s">
        <v>116</v>
      </c>
      <c r="G234" s="54">
        <v>19932</v>
      </c>
      <c r="H234" s="54">
        <f>1794*2</f>
        <v>3588</v>
      </c>
      <c r="I234" s="54">
        <f t="shared" si="11"/>
        <v>23520</v>
      </c>
      <c r="J234" s="58" t="e">
        <f>+#REF!+#REF!+#REF!+#REF!</f>
        <v>#REF!</v>
      </c>
      <c r="K234" s="8">
        <v>44734</v>
      </c>
    </row>
    <row r="235" spans="1:11" s="1" customFormat="1" ht="45" x14ac:dyDescent="0.2">
      <c r="A235" s="7">
        <v>6</v>
      </c>
      <c r="B235" s="38">
        <v>44739</v>
      </c>
      <c r="C235" s="9" t="s">
        <v>218</v>
      </c>
      <c r="D235" s="9" t="s">
        <v>71</v>
      </c>
      <c r="E235" s="9" t="s">
        <v>219</v>
      </c>
      <c r="F235" s="9" t="s">
        <v>220</v>
      </c>
      <c r="G235" s="54">
        <v>32775</v>
      </c>
      <c r="H235" s="54">
        <v>5900</v>
      </c>
      <c r="I235" s="54">
        <f t="shared" si="11"/>
        <v>38675</v>
      </c>
      <c r="J235" s="58" t="e">
        <f>+#REF!+#REF!+#REF!+#REF!</f>
        <v>#REF!</v>
      </c>
      <c r="K235" s="8">
        <v>44728</v>
      </c>
    </row>
    <row r="236" spans="1:11" s="1" customFormat="1" ht="90" x14ac:dyDescent="0.2">
      <c r="A236" s="7">
        <v>7</v>
      </c>
      <c r="B236" s="38">
        <v>44769</v>
      </c>
      <c r="C236" s="9" t="s">
        <v>221</v>
      </c>
      <c r="D236" s="9" t="s">
        <v>71</v>
      </c>
      <c r="E236" s="9" t="s">
        <v>222</v>
      </c>
      <c r="F236" s="9" t="s">
        <v>223</v>
      </c>
      <c r="G236" s="54">
        <v>366438.54</v>
      </c>
      <c r="H236" s="54">
        <f>32979*2</f>
        <v>65958</v>
      </c>
      <c r="I236" s="54">
        <f t="shared" si="11"/>
        <v>432396.54</v>
      </c>
      <c r="J236" s="58" t="e">
        <f>+#REF!+#REF!+#REF!+#REF!+0.46</f>
        <v>#REF!</v>
      </c>
      <c r="K236" s="8">
        <v>44840</v>
      </c>
    </row>
    <row r="237" spans="1:11" s="1" customFormat="1" ht="45" x14ac:dyDescent="0.2">
      <c r="A237" s="7">
        <v>8</v>
      </c>
      <c r="B237" s="38">
        <v>44677</v>
      </c>
      <c r="C237" s="9" t="s">
        <v>224</v>
      </c>
      <c r="D237" s="9" t="s">
        <v>71</v>
      </c>
      <c r="E237" s="9" t="s">
        <v>225</v>
      </c>
      <c r="F237" s="9" t="s">
        <v>151</v>
      </c>
      <c r="G237" s="54">
        <v>9700</v>
      </c>
      <c r="H237" s="54">
        <v>1746</v>
      </c>
      <c r="I237" s="54">
        <f t="shared" si="11"/>
        <v>11446</v>
      </c>
      <c r="J237" s="58" t="e">
        <f>+#REF!+#REF!+#REF!+#REF!</f>
        <v>#REF!</v>
      </c>
      <c r="K237" s="8">
        <v>44712</v>
      </c>
    </row>
    <row r="238" spans="1:11" s="1" customFormat="1" ht="45" x14ac:dyDescent="0.2">
      <c r="A238" s="7">
        <v>9</v>
      </c>
      <c r="B238" s="38">
        <v>44678</v>
      </c>
      <c r="C238" s="9" t="s">
        <v>226</v>
      </c>
      <c r="D238" s="9" t="s">
        <v>71</v>
      </c>
      <c r="E238" s="9" t="s">
        <v>225</v>
      </c>
      <c r="F238" s="9" t="s">
        <v>151</v>
      </c>
      <c r="G238" s="54">
        <v>4850</v>
      </c>
      <c r="H238" s="54">
        <v>874</v>
      </c>
      <c r="I238" s="54">
        <f t="shared" si="11"/>
        <v>5724</v>
      </c>
      <c r="J238" s="58" t="e">
        <f>+#REF!+#REF!+#REF!+#REF!</f>
        <v>#REF!</v>
      </c>
      <c r="K238" s="8">
        <v>44712</v>
      </c>
    </row>
    <row r="239" spans="1:11" s="1" customFormat="1" ht="45" x14ac:dyDescent="0.2">
      <c r="A239" s="7">
        <v>10</v>
      </c>
      <c r="B239" s="38">
        <v>44470</v>
      </c>
      <c r="C239" s="9" t="s">
        <v>72</v>
      </c>
      <c r="D239" s="9" t="s">
        <v>71</v>
      </c>
      <c r="E239" s="9" t="s">
        <v>581</v>
      </c>
      <c r="F239" s="9" t="s">
        <v>39</v>
      </c>
      <c r="G239" s="54">
        <v>334585</v>
      </c>
      <c r="H239" s="54">
        <f>30113*2</f>
        <v>60226</v>
      </c>
      <c r="I239" s="54">
        <f t="shared" si="11"/>
        <v>394811</v>
      </c>
      <c r="J239" s="58" t="e">
        <f>+#REF!+#REF!+#REF!+#REF!</f>
        <v>#REF!</v>
      </c>
      <c r="K239" s="8">
        <v>44476</v>
      </c>
    </row>
    <row r="240" spans="1:11" s="1" customFormat="1" ht="60" x14ac:dyDescent="0.2">
      <c r="A240" s="7">
        <v>11</v>
      </c>
      <c r="B240" s="38">
        <v>44471</v>
      </c>
      <c r="C240" s="9" t="s">
        <v>73</v>
      </c>
      <c r="D240" s="9" t="s">
        <v>71</v>
      </c>
      <c r="E240" s="9" t="s">
        <v>582</v>
      </c>
      <c r="F240" s="9" t="s">
        <v>39</v>
      </c>
      <c r="G240" s="54">
        <v>397756.5</v>
      </c>
      <c r="H240" s="54">
        <f>35798*2</f>
        <v>71596</v>
      </c>
      <c r="I240" s="54">
        <f t="shared" si="11"/>
        <v>469352.5</v>
      </c>
      <c r="J240" s="58" t="e">
        <f>+#REF!+#REF!+#REF!+#REF!+0.5</f>
        <v>#REF!</v>
      </c>
      <c r="K240" s="8">
        <v>44476</v>
      </c>
    </row>
    <row r="241" spans="1:11" s="1" customFormat="1" ht="45" x14ac:dyDescent="0.2">
      <c r="A241" s="7">
        <v>12</v>
      </c>
      <c r="B241" s="38">
        <v>44657</v>
      </c>
      <c r="C241" s="9" t="s">
        <v>212</v>
      </c>
      <c r="D241" s="9" t="s">
        <v>71</v>
      </c>
      <c r="E241" s="9" t="s">
        <v>583</v>
      </c>
      <c r="F241" s="9" t="s">
        <v>39</v>
      </c>
      <c r="G241" s="54">
        <v>24759.5</v>
      </c>
      <c r="H241" s="54">
        <f>2228*2</f>
        <v>4456</v>
      </c>
      <c r="I241" s="54">
        <f t="shared" si="11"/>
        <v>29215.5</v>
      </c>
      <c r="J241" s="58" t="e">
        <f>+#REF!+#REF!+#REF!+#REF!+0.5</f>
        <v>#REF!</v>
      </c>
      <c r="K241" s="8">
        <v>44712</v>
      </c>
    </row>
    <row r="242" spans="1:11" s="1" customFormat="1" ht="45" x14ac:dyDescent="0.2">
      <c r="A242" s="7">
        <v>13</v>
      </c>
      <c r="B242" s="38">
        <v>44499</v>
      </c>
      <c r="C242" s="9">
        <v>94</v>
      </c>
      <c r="D242" s="9" t="s">
        <v>71</v>
      </c>
      <c r="E242" s="9" t="s">
        <v>74</v>
      </c>
      <c r="F242" s="9" t="s">
        <v>75</v>
      </c>
      <c r="G242" s="54">
        <v>58000</v>
      </c>
      <c r="H242" s="54">
        <f>5220*2</f>
        <v>10440</v>
      </c>
      <c r="I242" s="54">
        <f t="shared" si="11"/>
        <v>68440</v>
      </c>
      <c r="J242" s="58" t="e">
        <f>+#REF!+#REF!+#REF!+#REF!</f>
        <v>#REF!</v>
      </c>
      <c r="K242" s="8">
        <v>44495</v>
      </c>
    </row>
    <row r="243" spans="1:11" s="1" customFormat="1" ht="45" x14ac:dyDescent="0.2">
      <c r="A243" s="7">
        <v>14</v>
      </c>
      <c r="B243" s="38">
        <v>44499</v>
      </c>
      <c r="C243" s="9">
        <v>31</v>
      </c>
      <c r="D243" s="9" t="s">
        <v>71</v>
      </c>
      <c r="E243" s="9" t="s">
        <v>76</v>
      </c>
      <c r="F243" s="9" t="s">
        <v>75</v>
      </c>
      <c r="G243" s="54">
        <v>64750</v>
      </c>
      <c r="H243" s="54">
        <f>5828*2</f>
        <v>11656</v>
      </c>
      <c r="I243" s="54">
        <f t="shared" si="11"/>
        <v>76406</v>
      </c>
      <c r="J243" s="58" t="e">
        <f>+#REF!+#REF!+#REF!+#REF!</f>
        <v>#REF!</v>
      </c>
      <c r="K243" s="8">
        <v>44495</v>
      </c>
    </row>
    <row r="244" spans="1:11" s="1" customFormat="1" ht="45" x14ac:dyDescent="0.2">
      <c r="A244" s="7">
        <v>15</v>
      </c>
      <c r="B244" s="38">
        <v>44773</v>
      </c>
      <c r="C244" s="9" t="s">
        <v>92</v>
      </c>
      <c r="D244" s="9" t="s">
        <v>71</v>
      </c>
      <c r="E244" s="9" t="s">
        <v>93</v>
      </c>
      <c r="F244" s="9" t="s">
        <v>75</v>
      </c>
      <c r="G244" s="54">
        <v>400000</v>
      </c>
      <c r="H244" s="54">
        <f>36000*2</f>
        <v>72000</v>
      </c>
      <c r="I244" s="54">
        <f t="shared" si="11"/>
        <v>472000</v>
      </c>
      <c r="J244" s="58" t="e">
        <f>+#REF!+#REF!+#REF!+#REF!</f>
        <v>#REF!</v>
      </c>
      <c r="K244" s="8" t="s">
        <v>1927</v>
      </c>
    </row>
    <row r="245" spans="1:11" s="1" customFormat="1" ht="45" x14ac:dyDescent="0.2">
      <c r="A245" s="7">
        <v>16</v>
      </c>
      <c r="B245" s="38">
        <v>44773</v>
      </c>
      <c r="C245" s="9" t="s">
        <v>94</v>
      </c>
      <c r="D245" s="9" t="s">
        <v>71</v>
      </c>
      <c r="E245" s="9" t="s">
        <v>95</v>
      </c>
      <c r="F245" s="9" t="s">
        <v>75</v>
      </c>
      <c r="G245" s="54">
        <v>290000</v>
      </c>
      <c r="H245" s="54">
        <f>26100*2</f>
        <v>52200</v>
      </c>
      <c r="I245" s="54">
        <f t="shared" si="11"/>
        <v>342200</v>
      </c>
      <c r="J245" s="58" t="e">
        <f>+#REF!+#REF!+#REF!+#REF!</f>
        <v>#REF!</v>
      </c>
      <c r="K245" s="8">
        <v>44749</v>
      </c>
    </row>
    <row r="246" spans="1:11" s="1" customFormat="1" ht="45" x14ac:dyDescent="0.2">
      <c r="A246" s="7">
        <v>17</v>
      </c>
      <c r="B246" s="38">
        <v>44773</v>
      </c>
      <c r="C246" s="9" t="s">
        <v>96</v>
      </c>
      <c r="D246" s="9" t="s">
        <v>71</v>
      </c>
      <c r="E246" s="9" t="s">
        <v>97</v>
      </c>
      <c r="F246" s="9" t="s">
        <v>75</v>
      </c>
      <c r="G246" s="54">
        <v>60000</v>
      </c>
      <c r="H246" s="54">
        <f>5400*2</f>
        <v>10800</v>
      </c>
      <c r="I246" s="54">
        <f t="shared" si="11"/>
        <v>70800</v>
      </c>
      <c r="J246" s="58" t="e">
        <f>+#REF!+#REF!+#REF!+#REF!</f>
        <v>#REF!</v>
      </c>
      <c r="K246" s="8">
        <v>44749</v>
      </c>
    </row>
    <row r="247" spans="1:11" s="1" customFormat="1" ht="45" x14ac:dyDescent="0.2">
      <c r="A247" s="7">
        <v>18</v>
      </c>
      <c r="B247" s="38">
        <v>44773</v>
      </c>
      <c r="C247" s="9" t="s">
        <v>98</v>
      </c>
      <c r="D247" s="9" t="s">
        <v>71</v>
      </c>
      <c r="E247" s="9" t="s">
        <v>99</v>
      </c>
      <c r="F247" s="9" t="s">
        <v>75</v>
      </c>
      <c r="G247" s="54">
        <v>27750</v>
      </c>
      <c r="H247" s="54">
        <f>2498*2</f>
        <v>4996</v>
      </c>
      <c r="I247" s="54">
        <f t="shared" si="11"/>
        <v>32746</v>
      </c>
      <c r="J247" s="58" t="e">
        <f>+#REF!+#REF!+#REF!+#REF!-1</f>
        <v>#REF!</v>
      </c>
      <c r="K247" s="8">
        <v>44749</v>
      </c>
    </row>
    <row r="248" spans="1:11" s="1" customFormat="1" ht="45" x14ac:dyDescent="0.2">
      <c r="A248" s="7">
        <v>19</v>
      </c>
      <c r="B248" s="38">
        <v>44773</v>
      </c>
      <c r="C248" s="9" t="s">
        <v>100</v>
      </c>
      <c r="D248" s="9" t="s">
        <v>71</v>
      </c>
      <c r="E248" s="9" t="s">
        <v>101</v>
      </c>
      <c r="F248" s="9" t="s">
        <v>75</v>
      </c>
      <c r="G248" s="54">
        <v>40000</v>
      </c>
      <c r="H248" s="54">
        <f>3600*2</f>
        <v>7200</v>
      </c>
      <c r="I248" s="54">
        <f t="shared" si="11"/>
        <v>47200</v>
      </c>
      <c r="J248" s="58" t="e">
        <f>+#REF!+#REF!+#REF!+#REF!</f>
        <v>#REF!</v>
      </c>
      <c r="K248" s="8">
        <v>44793</v>
      </c>
    </row>
    <row r="249" spans="1:11" s="1" customFormat="1" ht="60" x14ac:dyDescent="0.2">
      <c r="A249" s="7">
        <v>20</v>
      </c>
      <c r="B249" s="38">
        <v>44659</v>
      </c>
      <c r="C249" s="9" t="s">
        <v>140</v>
      </c>
      <c r="D249" s="9" t="s">
        <v>71</v>
      </c>
      <c r="E249" s="9" t="s">
        <v>141</v>
      </c>
      <c r="F249" s="9" t="s">
        <v>145</v>
      </c>
      <c r="G249" s="54">
        <v>312000</v>
      </c>
      <c r="H249" s="54">
        <f>28080*2</f>
        <v>56160</v>
      </c>
      <c r="I249" s="54">
        <f t="shared" si="11"/>
        <v>368160</v>
      </c>
      <c r="J249" s="58" t="e">
        <f>+#REF!+#REF!+#REF!+#REF!</f>
        <v>#REF!</v>
      </c>
      <c r="K249" s="8">
        <v>44545</v>
      </c>
    </row>
    <row r="250" spans="1:11" s="1" customFormat="1" ht="60" x14ac:dyDescent="0.2">
      <c r="A250" s="7">
        <v>21</v>
      </c>
      <c r="B250" s="38">
        <v>44660</v>
      </c>
      <c r="C250" s="9" t="s">
        <v>142</v>
      </c>
      <c r="D250" s="9" t="s">
        <v>71</v>
      </c>
      <c r="E250" s="9" t="s">
        <v>143</v>
      </c>
      <c r="F250" s="9" t="s">
        <v>145</v>
      </c>
      <c r="G250" s="54">
        <v>624909</v>
      </c>
      <c r="H250" s="54">
        <f>56242*2</f>
        <v>112484</v>
      </c>
      <c r="I250" s="54">
        <f t="shared" si="11"/>
        <v>737393</v>
      </c>
      <c r="J250" s="58" t="e">
        <f>+#REF!+#REF!+#REF!+#REF!</f>
        <v>#REF!</v>
      </c>
      <c r="K250" s="8">
        <v>44648</v>
      </c>
    </row>
    <row r="251" spans="1:11" s="1" customFormat="1" ht="60" x14ac:dyDescent="0.2">
      <c r="A251" s="7">
        <v>22</v>
      </c>
      <c r="B251" s="38">
        <v>44672</v>
      </c>
      <c r="C251" s="9" t="s">
        <v>144</v>
      </c>
      <c r="D251" s="9" t="s">
        <v>71</v>
      </c>
      <c r="E251" s="9" t="s">
        <v>59</v>
      </c>
      <c r="F251" s="9" t="s">
        <v>145</v>
      </c>
      <c r="G251" s="54">
        <v>652715</v>
      </c>
      <c r="H251" s="54">
        <f>58744*2</f>
        <v>117488</v>
      </c>
      <c r="I251" s="54">
        <f t="shared" si="11"/>
        <v>770203</v>
      </c>
      <c r="J251" s="58" t="e">
        <f>+#REF!+#REF!+#REF!+#REF!+1</f>
        <v>#REF!</v>
      </c>
      <c r="K251" s="8">
        <v>44671</v>
      </c>
    </row>
    <row r="252" spans="1:11" s="1" customFormat="1" ht="45" x14ac:dyDescent="0.2">
      <c r="A252" s="7">
        <v>23</v>
      </c>
      <c r="B252" s="38">
        <v>44900</v>
      </c>
      <c r="C252" s="9" t="s">
        <v>626</v>
      </c>
      <c r="D252" s="9" t="s">
        <v>71</v>
      </c>
      <c r="E252" s="9" t="s">
        <v>542</v>
      </c>
      <c r="F252" s="9" t="s">
        <v>220</v>
      </c>
      <c r="G252" s="54">
        <v>182160</v>
      </c>
      <c r="H252" s="54">
        <v>32789</v>
      </c>
      <c r="I252" s="54">
        <f t="shared" si="11"/>
        <v>214949</v>
      </c>
      <c r="J252" s="58" t="e">
        <f>+#REF!+#REF!+#REF!+#REF!</f>
        <v>#REF!</v>
      </c>
      <c r="K252" s="8">
        <v>44888</v>
      </c>
    </row>
    <row r="253" spans="1:11" s="1" customFormat="1" ht="45" x14ac:dyDescent="0.2">
      <c r="A253" s="7">
        <v>24</v>
      </c>
      <c r="B253" s="38">
        <v>44900</v>
      </c>
      <c r="C253" s="9"/>
      <c r="D253" s="9" t="s">
        <v>71</v>
      </c>
      <c r="E253" s="9" t="s">
        <v>1294</v>
      </c>
      <c r="F253" s="9" t="s">
        <v>909</v>
      </c>
      <c r="G253" s="54">
        <v>3100</v>
      </c>
      <c r="H253" s="54">
        <v>0</v>
      </c>
      <c r="I253" s="54">
        <f t="shared" si="11"/>
        <v>3100</v>
      </c>
      <c r="J253" s="58" t="e">
        <f>+#REF!+#REF!+#REF!+#REF!</f>
        <v>#REF!</v>
      </c>
      <c r="K253" s="38">
        <v>44900</v>
      </c>
    </row>
    <row r="254" spans="1:11" s="1" customFormat="1" ht="45" x14ac:dyDescent="0.2">
      <c r="A254" s="7">
        <v>25</v>
      </c>
      <c r="B254" s="38">
        <v>44807</v>
      </c>
      <c r="C254" s="9">
        <v>1003688</v>
      </c>
      <c r="D254" s="9" t="s">
        <v>71</v>
      </c>
      <c r="E254" s="9" t="s">
        <v>102</v>
      </c>
      <c r="F254" s="9" t="s">
        <v>103</v>
      </c>
      <c r="G254" s="54">
        <v>400000</v>
      </c>
      <c r="H254" s="54">
        <f>36000*2</f>
        <v>72000</v>
      </c>
      <c r="I254" s="54">
        <f t="shared" si="11"/>
        <v>472000</v>
      </c>
      <c r="J254" s="58" t="e">
        <f>+#REF!+#REF!+#REF!+#REF!</f>
        <v>#REF!</v>
      </c>
      <c r="K254" s="8">
        <v>44802</v>
      </c>
    </row>
    <row r="255" spans="1:11" s="1" customFormat="1" ht="45" x14ac:dyDescent="0.2">
      <c r="A255" s="7">
        <v>26</v>
      </c>
      <c r="B255" s="38">
        <v>44807</v>
      </c>
      <c r="C255" s="9" t="s">
        <v>104</v>
      </c>
      <c r="D255" s="9" t="s">
        <v>71</v>
      </c>
      <c r="E255" s="9" t="s">
        <v>105</v>
      </c>
      <c r="F255" s="9" t="s">
        <v>106</v>
      </c>
      <c r="G255" s="54">
        <v>4104</v>
      </c>
      <c r="H255" s="54">
        <v>0</v>
      </c>
      <c r="I255" s="54">
        <f t="shared" si="11"/>
        <v>4104</v>
      </c>
      <c r="J255" s="58" t="e">
        <f>+#REF!+#REF!+#REF!+#REF!</f>
        <v>#REF!</v>
      </c>
      <c r="K255" s="8">
        <v>44807</v>
      </c>
    </row>
    <row r="256" spans="1:11" s="1" customFormat="1" ht="45" x14ac:dyDescent="0.2">
      <c r="A256" s="7">
        <v>27</v>
      </c>
      <c r="B256" s="38">
        <v>44851</v>
      </c>
      <c r="C256" s="9" t="s">
        <v>114</v>
      </c>
      <c r="D256" s="9" t="s">
        <v>71</v>
      </c>
      <c r="E256" s="9" t="s">
        <v>115</v>
      </c>
      <c r="F256" s="9" t="s">
        <v>116</v>
      </c>
      <c r="G256" s="54">
        <v>7602</v>
      </c>
      <c r="H256" s="54">
        <f>684*2</f>
        <v>1368</v>
      </c>
      <c r="I256" s="54">
        <f t="shared" si="11"/>
        <v>8970</v>
      </c>
      <c r="J256" s="58" t="e">
        <f>+#REF!+#REF!+#REF!+#REF!</f>
        <v>#REF!</v>
      </c>
      <c r="K256" s="8">
        <v>44882</v>
      </c>
    </row>
    <row r="257" spans="1:11" s="1" customFormat="1" ht="45" x14ac:dyDescent="0.2">
      <c r="A257" s="7">
        <v>28</v>
      </c>
      <c r="B257" s="38">
        <v>44846</v>
      </c>
      <c r="C257" s="9">
        <v>535</v>
      </c>
      <c r="D257" s="9" t="s">
        <v>71</v>
      </c>
      <c r="E257" s="9" t="s">
        <v>117</v>
      </c>
      <c r="F257" s="9" t="s">
        <v>118</v>
      </c>
      <c r="G257" s="54">
        <v>82000</v>
      </c>
      <c r="H257" s="54">
        <v>14760</v>
      </c>
      <c r="I257" s="54">
        <f t="shared" si="11"/>
        <v>96760</v>
      </c>
      <c r="J257" s="58" t="e">
        <f>+#REF!+#REF!+#REF!+#REF!</f>
        <v>#REF!</v>
      </c>
      <c r="K257" s="58" t="s">
        <v>1966</v>
      </c>
    </row>
    <row r="258" spans="1:11" s="1" customFormat="1" ht="45" x14ac:dyDescent="0.2">
      <c r="A258" s="7">
        <v>29</v>
      </c>
      <c r="B258" s="38">
        <v>44853</v>
      </c>
      <c r="C258" s="9">
        <v>52619</v>
      </c>
      <c r="D258" s="9" t="s">
        <v>71</v>
      </c>
      <c r="E258" s="9" t="s">
        <v>157</v>
      </c>
      <c r="F258" s="9" t="s">
        <v>158</v>
      </c>
      <c r="G258" s="54">
        <v>51218</v>
      </c>
      <c r="H258" s="54">
        <v>0</v>
      </c>
      <c r="I258" s="54">
        <f t="shared" si="11"/>
        <v>51218</v>
      </c>
      <c r="J258" s="58" t="e">
        <f>+#REF!+#REF!+#REF!+#REF!</f>
        <v>#REF!</v>
      </c>
      <c r="K258" s="8">
        <v>44856</v>
      </c>
    </row>
    <row r="259" spans="1:11" s="1" customFormat="1" ht="60" x14ac:dyDescent="0.2">
      <c r="A259" s="7">
        <v>30</v>
      </c>
      <c r="B259" s="38">
        <v>44534</v>
      </c>
      <c r="C259" s="9" t="s">
        <v>31</v>
      </c>
      <c r="D259" s="9" t="s">
        <v>71</v>
      </c>
      <c r="E259" s="9" t="s">
        <v>286</v>
      </c>
      <c r="F259" s="9" t="s">
        <v>32</v>
      </c>
      <c r="G259" s="54">
        <v>586000</v>
      </c>
      <c r="H259" s="54">
        <f>52740*2</f>
        <v>105480</v>
      </c>
      <c r="I259" s="54">
        <f t="shared" si="11"/>
        <v>691480</v>
      </c>
      <c r="J259" s="58" t="e">
        <f>+#REF!+#REF!+#REF!+#REF!</f>
        <v>#REF!</v>
      </c>
      <c r="K259" s="8">
        <v>44531</v>
      </c>
    </row>
    <row r="260" spans="1:11" s="1" customFormat="1" ht="45" x14ac:dyDescent="0.2">
      <c r="A260" s="7">
        <v>31</v>
      </c>
      <c r="B260" s="38">
        <v>44805</v>
      </c>
      <c r="C260" s="9" t="s">
        <v>175</v>
      </c>
      <c r="D260" s="9" t="s">
        <v>71</v>
      </c>
      <c r="E260" s="9" t="s">
        <v>176</v>
      </c>
      <c r="F260" s="9" t="s">
        <v>177</v>
      </c>
      <c r="G260" s="54">
        <v>5290</v>
      </c>
      <c r="H260" s="54">
        <v>0</v>
      </c>
      <c r="I260" s="54">
        <f t="shared" si="11"/>
        <v>5290</v>
      </c>
      <c r="J260" s="58" t="e">
        <f>+#REF!+#REF!+#REF!+#REF!</f>
        <v>#REF!</v>
      </c>
      <c r="K260" s="8">
        <v>44798</v>
      </c>
    </row>
    <row r="261" spans="1:11" s="1" customFormat="1" ht="60" x14ac:dyDescent="0.2">
      <c r="A261" s="7">
        <v>32</v>
      </c>
      <c r="B261" s="38">
        <v>44771</v>
      </c>
      <c r="C261" s="9" t="s">
        <v>121</v>
      </c>
      <c r="D261" s="9" t="s">
        <v>71</v>
      </c>
      <c r="E261" s="9" t="s">
        <v>122</v>
      </c>
      <c r="F261" s="9" t="s">
        <v>145</v>
      </c>
      <c r="G261" s="54">
        <v>66687</v>
      </c>
      <c r="H261" s="54">
        <f>6002*2</f>
        <v>12004</v>
      </c>
      <c r="I261" s="54">
        <f t="shared" si="11"/>
        <v>78691</v>
      </c>
      <c r="J261" s="58" t="e">
        <f>+#REF!+#REF!+#REF!+#REF!</f>
        <v>#REF!</v>
      </c>
      <c r="K261" s="8">
        <v>44771</v>
      </c>
    </row>
    <row r="262" spans="1:11" s="1" customFormat="1" ht="60" x14ac:dyDescent="0.2">
      <c r="A262" s="7">
        <v>33</v>
      </c>
      <c r="B262" s="38">
        <v>44771</v>
      </c>
      <c r="C262" s="9" t="s">
        <v>123</v>
      </c>
      <c r="D262" s="9" t="s">
        <v>71</v>
      </c>
      <c r="E262" s="9" t="s">
        <v>124</v>
      </c>
      <c r="F262" s="9" t="s">
        <v>145</v>
      </c>
      <c r="G262" s="54">
        <v>36450</v>
      </c>
      <c r="H262" s="54">
        <f>3281*2</f>
        <v>6562</v>
      </c>
      <c r="I262" s="54">
        <f t="shared" si="11"/>
        <v>43012</v>
      </c>
      <c r="J262" s="58" t="e">
        <f>+#REF!+#REF!+#REF!+#REF!-1</f>
        <v>#REF!</v>
      </c>
      <c r="K262" s="8">
        <v>44771</v>
      </c>
    </row>
    <row r="263" spans="1:11" s="1" customFormat="1" ht="60" x14ac:dyDescent="0.2">
      <c r="A263" s="7">
        <v>34</v>
      </c>
      <c r="B263" s="38">
        <v>44825</v>
      </c>
      <c r="C263" s="9" t="s">
        <v>125</v>
      </c>
      <c r="D263" s="9" t="s">
        <v>71</v>
      </c>
      <c r="E263" s="9" t="s">
        <v>126</v>
      </c>
      <c r="F263" s="9" t="s">
        <v>145</v>
      </c>
      <c r="G263" s="54">
        <v>25050</v>
      </c>
      <c r="H263" s="54">
        <f>2255*2</f>
        <v>4510</v>
      </c>
      <c r="I263" s="54">
        <f t="shared" si="11"/>
        <v>29560</v>
      </c>
      <c r="J263" s="58" t="e">
        <f>+#REF!+#REF!+#REF!+#REF!</f>
        <v>#REF!</v>
      </c>
      <c r="K263" s="8">
        <v>44817</v>
      </c>
    </row>
    <row r="264" spans="1:11" s="1" customFormat="1" ht="90" x14ac:dyDescent="0.2">
      <c r="A264" s="7">
        <v>35</v>
      </c>
      <c r="B264" s="38">
        <v>44825</v>
      </c>
      <c r="C264" s="9" t="s">
        <v>127</v>
      </c>
      <c r="D264" s="9" t="s">
        <v>71</v>
      </c>
      <c r="E264" s="9" t="s">
        <v>281</v>
      </c>
      <c r="F264" s="9" t="s">
        <v>145</v>
      </c>
      <c r="G264" s="54">
        <v>76646</v>
      </c>
      <c r="H264" s="54">
        <f>6898*2</f>
        <v>13796</v>
      </c>
      <c r="I264" s="54">
        <f t="shared" si="11"/>
        <v>90442</v>
      </c>
      <c r="J264" s="58" t="e">
        <f>+#REF!+#REF!+#REF!+#REF!</f>
        <v>#REF!</v>
      </c>
      <c r="K264" s="8">
        <v>44817</v>
      </c>
    </row>
    <row r="265" spans="1:11" s="1" customFormat="1" ht="90" x14ac:dyDescent="0.2">
      <c r="A265" s="7">
        <v>36</v>
      </c>
      <c r="B265" s="38">
        <v>44825</v>
      </c>
      <c r="C265" s="9" t="s">
        <v>128</v>
      </c>
      <c r="D265" s="9" t="s">
        <v>71</v>
      </c>
      <c r="E265" s="9" t="s">
        <v>282</v>
      </c>
      <c r="F265" s="9" t="s">
        <v>145</v>
      </c>
      <c r="G265" s="54">
        <v>23224</v>
      </c>
      <c r="H265" s="54">
        <f>2090*2</f>
        <v>4180</v>
      </c>
      <c r="I265" s="54">
        <f t="shared" si="11"/>
        <v>27404</v>
      </c>
      <c r="J265" s="58" t="e">
        <f>+#REF!+#REF!+#REF!+#REF!</f>
        <v>#REF!</v>
      </c>
      <c r="K265" s="8">
        <v>44817</v>
      </c>
    </row>
    <row r="266" spans="1:11" s="1" customFormat="1" ht="60" x14ac:dyDescent="0.2">
      <c r="A266" s="7">
        <v>37</v>
      </c>
      <c r="B266" s="38">
        <v>44840</v>
      </c>
      <c r="C266" s="9" t="s">
        <v>129</v>
      </c>
      <c r="D266" s="9" t="s">
        <v>71</v>
      </c>
      <c r="E266" s="9" t="s">
        <v>283</v>
      </c>
      <c r="F266" s="9" t="s">
        <v>145</v>
      </c>
      <c r="G266" s="54">
        <v>53332</v>
      </c>
      <c r="H266" s="54">
        <f>4800*2</f>
        <v>9600</v>
      </c>
      <c r="I266" s="54">
        <f t="shared" si="11"/>
        <v>62932</v>
      </c>
      <c r="J266" s="58" t="e">
        <f>+#REF!+#REF!+#REF!+#REF!</f>
        <v>#REF!</v>
      </c>
      <c r="K266" s="8">
        <v>44740</v>
      </c>
    </row>
    <row r="267" spans="1:11" s="1" customFormat="1" ht="60" x14ac:dyDescent="0.2">
      <c r="A267" s="7">
        <v>38</v>
      </c>
      <c r="B267" s="38">
        <v>44840</v>
      </c>
      <c r="C267" s="9" t="s">
        <v>130</v>
      </c>
      <c r="D267" s="9" t="s">
        <v>71</v>
      </c>
      <c r="E267" s="9" t="s">
        <v>284</v>
      </c>
      <c r="F267" s="9" t="s">
        <v>145</v>
      </c>
      <c r="G267" s="54">
        <v>507460.96</v>
      </c>
      <c r="H267" s="54">
        <f>45671*2</f>
        <v>91342</v>
      </c>
      <c r="I267" s="54">
        <f t="shared" si="11"/>
        <v>598802.96</v>
      </c>
      <c r="J267" s="58" t="e">
        <f>+#REF!+#REF!+#REF!+#REF!+0.04</f>
        <v>#REF!</v>
      </c>
      <c r="K267" s="8">
        <v>44694</v>
      </c>
    </row>
    <row r="268" spans="1:11" s="1" customFormat="1" ht="90" x14ac:dyDescent="0.2">
      <c r="A268" s="7">
        <v>39</v>
      </c>
      <c r="B268" s="38">
        <v>44840</v>
      </c>
      <c r="C268" s="9" t="s">
        <v>131</v>
      </c>
      <c r="D268" s="9" t="s">
        <v>71</v>
      </c>
      <c r="E268" s="9" t="s">
        <v>280</v>
      </c>
      <c r="F268" s="9" t="s">
        <v>145</v>
      </c>
      <c r="G268" s="54">
        <v>800000</v>
      </c>
      <c r="H268" s="54">
        <f>72000*2</f>
        <v>144000</v>
      </c>
      <c r="I268" s="54">
        <f t="shared" si="11"/>
        <v>944000</v>
      </c>
      <c r="J268" s="58" t="e">
        <f>+#REF!+#REF!+#REF!+#REF!</f>
        <v>#REF!</v>
      </c>
      <c r="K268" s="8">
        <v>44848</v>
      </c>
    </row>
    <row r="269" spans="1:11" s="1" customFormat="1" ht="45" x14ac:dyDescent="0.2">
      <c r="A269" s="7">
        <v>40</v>
      </c>
      <c r="B269" s="38">
        <v>44651</v>
      </c>
      <c r="C269" s="9">
        <v>26472</v>
      </c>
      <c r="D269" s="9" t="s">
        <v>71</v>
      </c>
      <c r="E269" s="9" t="s">
        <v>44</v>
      </c>
      <c r="F269" s="9" t="s">
        <v>45</v>
      </c>
      <c r="G269" s="54">
        <v>865346</v>
      </c>
      <c r="H269" s="54">
        <f>77881*2</f>
        <v>155762</v>
      </c>
      <c r="I269" s="54">
        <f t="shared" si="11"/>
        <v>1021108</v>
      </c>
      <c r="J269" s="58" t="e">
        <f>+#REF!+#REF!+#REF!+#REF!+1</f>
        <v>#REF!</v>
      </c>
      <c r="K269" s="8">
        <v>44848</v>
      </c>
    </row>
    <row r="270" spans="1:11" s="1" customFormat="1" ht="90" x14ac:dyDescent="0.2">
      <c r="A270" s="7">
        <v>41</v>
      </c>
      <c r="B270" s="38">
        <v>44821</v>
      </c>
      <c r="C270" s="9">
        <v>154</v>
      </c>
      <c r="D270" s="9" t="s">
        <v>71</v>
      </c>
      <c r="E270" s="9" t="s">
        <v>85</v>
      </c>
      <c r="F270" s="9" t="s">
        <v>86</v>
      </c>
      <c r="G270" s="54">
        <v>248600</v>
      </c>
      <c r="H270" s="54">
        <f>22374*2</f>
        <v>44748</v>
      </c>
      <c r="I270" s="54">
        <f t="shared" si="11"/>
        <v>293348</v>
      </c>
      <c r="J270" s="58" t="e">
        <f>+#REF!+#REF!+#REF!+#REF!</f>
        <v>#REF!</v>
      </c>
      <c r="K270" s="8">
        <v>44817</v>
      </c>
    </row>
    <row r="271" spans="1:11" s="1" customFormat="1" ht="90" x14ac:dyDescent="0.2">
      <c r="A271" s="7">
        <v>42</v>
      </c>
      <c r="B271" s="38">
        <v>44884</v>
      </c>
      <c r="C271" s="9" t="s">
        <v>446</v>
      </c>
      <c r="D271" s="9" t="s">
        <v>71</v>
      </c>
      <c r="E271" s="9" t="s">
        <v>448</v>
      </c>
      <c r="F271" s="9" t="s">
        <v>447</v>
      </c>
      <c r="G271" s="54">
        <v>57726.400000000001</v>
      </c>
      <c r="H271" s="54">
        <f>5195*2</f>
        <v>10390</v>
      </c>
      <c r="I271" s="54">
        <f t="shared" si="11"/>
        <v>68116.399999999994</v>
      </c>
      <c r="J271" s="58" t="e">
        <f>+#REF!+#REF!+#REF!+#REF!+0.6</f>
        <v>#REF!</v>
      </c>
      <c r="K271" s="8">
        <v>44895</v>
      </c>
    </row>
    <row r="272" spans="1:11" s="1" customFormat="1" ht="90" x14ac:dyDescent="0.2">
      <c r="A272" s="7">
        <v>43</v>
      </c>
      <c r="B272" s="38">
        <v>44892</v>
      </c>
      <c r="C272" s="9" t="s">
        <v>473</v>
      </c>
      <c r="D272" s="9" t="s">
        <v>71</v>
      </c>
      <c r="E272" s="9" t="s">
        <v>474</v>
      </c>
      <c r="F272" s="9" t="s">
        <v>39</v>
      </c>
      <c r="G272" s="54">
        <v>131893</v>
      </c>
      <c r="H272" s="54">
        <f>11870*2</f>
        <v>23740</v>
      </c>
      <c r="I272" s="54">
        <f t="shared" si="11"/>
        <v>155633</v>
      </c>
      <c r="J272" s="58" t="e">
        <f>+#REF!+#REF!+#REF!+#REF!+1</f>
        <v>#REF!</v>
      </c>
      <c r="K272" s="8">
        <v>44908</v>
      </c>
    </row>
    <row r="273" spans="1:11" s="1" customFormat="1" ht="60" x14ac:dyDescent="0.2">
      <c r="A273" s="7">
        <v>44</v>
      </c>
      <c r="B273" s="38">
        <v>44892</v>
      </c>
      <c r="C273" s="9" t="s">
        <v>476</v>
      </c>
      <c r="D273" s="9" t="s">
        <v>71</v>
      </c>
      <c r="E273" s="9" t="s">
        <v>475</v>
      </c>
      <c r="F273" s="9" t="s">
        <v>584</v>
      </c>
      <c r="G273" s="54">
        <v>600</v>
      </c>
      <c r="H273" s="54">
        <v>0</v>
      </c>
      <c r="I273" s="54">
        <f t="shared" si="11"/>
        <v>600</v>
      </c>
      <c r="J273" s="58" t="e">
        <f>+#REF!+#REF!+#REF!+#REF!</f>
        <v>#REF!</v>
      </c>
      <c r="K273" s="8">
        <v>44892</v>
      </c>
    </row>
    <row r="274" spans="1:11" s="1" customFormat="1" ht="90" x14ac:dyDescent="0.2">
      <c r="A274" s="7">
        <v>45</v>
      </c>
      <c r="B274" s="38">
        <v>44851</v>
      </c>
      <c r="C274" s="9" t="s">
        <v>241</v>
      </c>
      <c r="D274" s="9" t="s">
        <v>71</v>
      </c>
      <c r="E274" s="9" t="s">
        <v>242</v>
      </c>
      <c r="F274" s="9" t="s">
        <v>447</v>
      </c>
      <c r="G274" s="54">
        <v>53797.1</v>
      </c>
      <c r="H274" s="54">
        <f>4842*2</f>
        <v>9684</v>
      </c>
      <c r="I274" s="54">
        <f t="shared" si="11"/>
        <v>63481.1</v>
      </c>
      <c r="J274" s="58" t="e">
        <f>+#REF!+#REF!+#REF!+#REF!-0.1</f>
        <v>#REF!</v>
      </c>
      <c r="K274" s="8">
        <v>44881</v>
      </c>
    </row>
    <row r="275" spans="1:11" s="1" customFormat="1" ht="45" x14ac:dyDescent="0.2">
      <c r="A275" s="7">
        <v>46</v>
      </c>
      <c r="B275" s="38">
        <v>44851</v>
      </c>
      <c r="C275" s="9" t="s">
        <v>243</v>
      </c>
      <c r="D275" s="9" t="s">
        <v>71</v>
      </c>
      <c r="E275" s="9" t="s">
        <v>244</v>
      </c>
      <c r="F275" s="9" t="s">
        <v>447</v>
      </c>
      <c r="G275" s="54">
        <v>37829.96</v>
      </c>
      <c r="H275" s="54">
        <f>3405*2</f>
        <v>6810</v>
      </c>
      <c r="I275" s="54">
        <f t="shared" si="11"/>
        <v>44639.96</v>
      </c>
      <c r="J275" s="58" t="e">
        <f>+#REF!+#REF!+#REF!+#REF!-0.96</f>
        <v>#REF!</v>
      </c>
      <c r="K275" s="8">
        <v>44881</v>
      </c>
    </row>
    <row r="276" spans="1:11" s="1" customFormat="1" ht="90" x14ac:dyDescent="0.2">
      <c r="A276" s="7">
        <v>47</v>
      </c>
      <c r="B276" s="38">
        <v>44891</v>
      </c>
      <c r="C276" s="9" t="s">
        <v>469</v>
      </c>
      <c r="D276" s="9" t="s">
        <v>71</v>
      </c>
      <c r="E276" s="9" t="s">
        <v>470</v>
      </c>
      <c r="F276" s="9" t="s">
        <v>447</v>
      </c>
      <c r="G276" s="54">
        <v>40350.400000000001</v>
      </c>
      <c r="H276" s="54">
        <f>3632*2</f>
        <v>7264</v>
      </c>
      <c r="I276" s="54">
        <f t="shared" si="11"/>
        <v>47614.400000000001</v>
      </c>
      <c r="J276" s="58" t="e">
        <f>+#REF!+#REF!+#REF!+#REF!-1.4</f>
        <v>#REF!</v>
      </c>
      <c r="K276" s="8">
        <v>44895</v>
      </c>
    </row>
    <row r="277" spans="1:11" s="1" customFormat="1" ht="45" x14ac:dyDescent="0.2">
      <c r="A277" s="7">
        <v>48</v>
      </c>
      <c r="B277" s="38">
        <v>44893</v>
      </c>
      <c r="C277" s="9">
        <v>671</v>
      </c>
      <c r="D277" s="9" t="s">
        <v>71</v>
      </c>
      <c r="E277" s="9" t="s">
        <v>482</v>
      </c>
      <c r="F277" s="9" t="s">
        <v>118</v>
      </c>
      <c r="G277" s="54">
        <v>138320</v>
      </c>
      <c r="H277" s="54">
        <v>24898</v>
      </c>
      <c r="I277" s="54">
        <f t="shared" si="11"/>
        <v>163218</v>
      </c>
      <c r="J277" s="58" t="e">
        <f>+#REF!+#REF!+#REF!+#REF!</f>
        <v>#REF!</v>
      </c>
      <c r="K277" s="8">
        <v>44886</v>
      </c>
    </row>
    <row r="278" spans="1:11" s="1" customFormat="1" ht="45" x14ac:dyDescent="0.2">
      <c r="A278" s="7">
        <v>49</v>
      </c>
      <c r="B278" s="38">
        <v>44893</v>
      </c>
      <c r="C278" s="9" t="s">
        <v>524</v>
      </c>
      <c r="D278" s="9" t="s">
        <v>71</v>
      </c>
      <c r="E278" s="9" t="s">
        <v>525</v>
      </c>
      <c r="F278" s="9" t="s">
        <v>289</v>
      </c>
      <c r="G278" s="54">
        <v>1000000</v>
      </c>
      <c r="H278" s="54">
        <f>90000*2</f>
        <v>180000</v>
      </c>
      <c r="I278" s="54">
        <f t="shared" si="11"/>
        <v>1180000</v>
      </c>
      <c r="J278" s="58" t="e">
        <f>+#REF!+#REF!+#REF!+#REF!</f>
        <v>#REF!</v>
      </c>
      <c r="K278" s="8" t="s">
        <v>2045</v>
      </c>
    </row>
    <row r="279" spans="1:11" s="1" customFormat="1" ht="45" x14ac:dyDescent="0.2">
      <c r="A279" s="7">
        <v>50</v>
      </c>
      <c r="B279" s="38">
        <v>44888</v>
      </c>
      <c r="C279" s="9" t="s">
        <v>476</v>
      </c>
      <c r="D279" s="9" t="s">
        <v>71</v>
      </c>
      <c r="E279" s="9" t="s">
        <v>980</v>
      </c>
      <c r="F279" s="9" t="s">
        <v>979</v>
      </c>
      <c r="G279" s="54">
        <v>1760</v>
      </c>
      <c r="H279" s="54">
        <v>0</v>
      </c>
      <c r="I279" s="54">
        <f t="shared" si="11"/>
        <v>1760</v>
      </c>
      <c r="J279" s="58" t="e">
        <f>+#REF!+#REF!+#REF!+#REF!</f>
        <v>#REF!</v>
      </c>
      <c r="K279" s="8">
        <v>44888</v>
      </c>
    </row>
    <row r="280" spans="1:11" s="1" customFormat="1" ht="45" x14ac:dyDescent="0.2">
      <c r="A280" s="7">
        <v>51</v>
      </c>
      <c r="B280" s="38">
        <v>44840</v>
      </c>
      <c r="C280" s="9"/>
      <c r="D280" s="9" t="s">
        <v>71</v>
      </c>
      <c r="E280" s="9" t="s">
        <v>345</v>
      </c>
      <c r="F280" s="9" t="s">
        <v>70</v>
      </c>
      <c r="G280" s="54">
        <v>7400</v>
      </c>
      <c r="H280" s="54">
        <v>0</v>
      </c>
      <c r="I280" s="54">
        <f t="shared" si="11"/>
        <v>7400</v>
      </c>
      <c r="J280" s="58" t="e">
        <f>+#REF!+#REF!+#REF!+#REF!</f>
        <v>#REF!</v>
      </c>
      <c r="K280" s="38">
        <v>44840</v>
      </c>
    </row>
    <row r="281" spans="1:11" s="1" customFormat="1" ht="45" x14ac:dyDescent="0.2">
      <c r="A281" s="7">
        <v>52</v>
      </c>
      <c r="B281" s="38">
        <v>44840</v>
      </c>
      <c r="C281" s="9"/>
      <c r="D281" s="9" t="s">
        <v>71</v>
      </c>
      <c r="E281" s="9" t="s">
        <v>346</v>
      </c>
      <c r="F281" s="9" t="s">
        <v>347</v>
      </c>
      <c r="G281" s="54">
        <v>7000</v>
      </c>
      <c r="H281" s="54">
        <v>0</v>
      </c>
      <c r="I281" s="54">
        <f t="shared" si="11"/>
        <v>7000</v>
      </c>
      <c r="J281" s="58" t="e">
        <f>+#REF!+#REF!+#REF!+#REF!</f>
        <v>#REF!</v>
      </c>
      <c r="K281" s="38">
        <v>44840</v>
      </c>
    </row>
    <row r="282" spans="1:11" s="1" customFormat="1" ht="45" x14ac:dyDescent="0.2">
      <c r="A282" s="7">
        <v>53</v>
      </c>
      <c r="B282" s="38">
        <v>44840</v>
      </c>
      <c r="C282" s="9"/>
      <c r="D282" s="9" t="s">
        <v>71</v>
      </c>
      <c r="E282" s="9" t="s">
        <v>346</v>
      </c>
      <c r="F282" s="9" t="s">
        <v>348</v>
      </c>
      <c r="G282" s="54">
        <v>7000</v>
      </c>
      <c r="H282" s="54">
        <v>0</v>
      </c>
      <c r="I282" s="54">
        <f t="shared" si="11"/>
        <v>7000</v>
      </c>
      <c r="J282" s="58" t="e">
        <f>+#REF!+#REF!+#REF!+#REF!</f>
        <v>#REF!</v>
      </c>
      <c r="K282" s="38">
        <v>44840</v>
      </c>
    </row>
    <row r="283" spans="1:11" s="1" customFormat="1" ht="45" x14ac:dyDescent="0.2">
      <c r="A283" s="7">
        <v>54</v>
      </c>
      <c r="B283" s="38">
        <v>44922</v>
      </c>
      <c r="C283" s="9">
        <v>30</v>
      </c>
      <c r="D283" s="9" t="s">
        <v>71</v>
      </c>
      <c r="E283" s="9" t="s">
        <v>589</v>
      </c>
      <c r="F283" s="9" t="s">
        <v>592</v>
      </c>
      <c r="G283" s="54">
        <v>96045</v>
      </c>
      <c r="H283" s="54">
        <v>17288</v>
      </c>
      <c r="I283" s="54">
        <f t="shared" si="11"/>
        <v>113333</v>
      </c>
      <c r="J283" s="58" t="e">
        <f>+#REF!+#REF!+#REF!+#REF!</f>
        <v>#REF!</v>
      </c>
      <c r="K283" s="8">
        <v>44910</v>
      </c>
    </row>
    <row r="284" spans="1:11" s="1" customFormat="1" ht="45" x14ac:dyDescent="0.2">
      <c r="A284" s="7">
        <v>55</v>
      </c>
      <c r="B284" s="38">
        <v>44922</v>
      </c>
      <c r="C284" s="9"/>
      <c r="D284" s="9" t="s">
        <v>71</v>
      </c>
      <c r="E284" s="9" t="s">
        <v>690</v>
      </c>
      <c r="F284" s="9" t="s">
        <v>691</v>
      </c>
      <c r="G284" s="54">
        <v>4554</v>
      </c>
      <c r="H284" s="54">
        <v>546</v>
      </c>
      <c r="I284" s="54">
        <f t="shared" si="11"/>
        <v>5100</v>
      </c>
      <c r="J284" s="58" t="e">
        <f>+#REF!+#REF!+#REF!+#REF!</f>
        <v>#REF!</v>
      </c>
      <c r="K284" s="8">
        <v>44922</v>
      </c>
    </row>
    <row r="285" spans="1:11" s="1" customFormat="1" ht="45" x14ac:dyDescent="0.2">
      <c r="A285" s="7">
        <v>56</v>
      </c>
      <c r="B285" s="38">
        <v>44924</v>
      </c>
      <c r="C285" s="9" t="s">
        <v>692</v>
      </c>
      <c r="D285" s="9" t="s">
        <v>71</v>
      </c>
      <c r="E285" s="9" t="s">
        <v>590</v>
      </c>
      <c r="F285" s="9" t="s">
        <v>591</v>
      </c>
      <c r="G285" s="54">
        <v>35000</v>
      </c>
      <c r="H285" s="54">
        <v>6300</v>
      </c>
      <c r="I285" s="54">
        <f t="shared" si="11"/>
        <v>41300</v>
      </c>
      <c r="J285" s="54" t="e">
        <f>+#REF!+#REF!+#REF!+#REF!</f>
        <v>#REF!</v>
      </c>
      <c r="K285" s="38">
        <v>44924</v>
      </c>
    </row>
    <row r="286" spans="1:11" s="1" customFormat="1" ht="60" x14ac:dyDescent="0.2">
      <c r="A286" s="7">
        <v>57</v>
      </c>
      <c r="B286" s="38">
        <v>44659</v>
      </c>
      <c r="C286" s="9" t="s">
        <v>138</v>
      </c>
      <c r="D286" s="9" t="s">
        <v>71</v>
      </c>
      <c r="E286" s="9" t="s">
        <v>139</v>
      </c>
      <c r="F286" s="9" t="s">
        <v>145</v>
      </c>
      <c r="G286" s="54">
        <v>670000</v>
      </c>
      <c r="H286" s="54">
        <f>60300*2</f>
        <v>120600</v>
      </c>
      <c r="I286" s="54">
        <f t="shared" si="11"/>
        <v>790600</v>
      </c>
      <c r="J286" s="58" t="e">
        <f>+#REF!+#REF!+#REF!+#REF!</f>
        <v>#REF!</v>
      </c>
      <c r="K286" s="8" t="s">
        <v>1993</v>
      </c>
    </row>
    <row r="287" spans="1:11" s="1" customFormat="1" ht="150" customHeight="1" x14ac:dyDescent="0.2">
      <c r="A287" s="7">
        <v>59</v>
      </c>
      <c r="B287" s="38">
        <v>44737</v>
      </c>
      <c r="C287" s="9" t="s">
        <v>148</v>
      </c>
      <c r="D287" s="9" t="s">
        <v>71</v>
      </c>
      <c r="E287" s="9" t="s">
        <v>279</v>
      </c>
      <c r="F287" s="9" t="s">
        <v>145</v>
      </c>
      <c r="G287" s="54">
        <v>260000</v>
      </c>
      <c r="H287" s="54">
        <f>23400*2</f>
        <v>46800</v>
      </c>
      <c r="I287" s="54">
        <f t="shared" si="11"/>
        <v>306800</v>
      </c>
      <c r="J287" s="58" t="e">
        <f>+#REF!+#REF!+#REF!+#REF!</f>
        <v>#REF!</v>
      </c>
      <c r="K287" s="8">
        <v>44743</v>
      </c>
    </row>
    <row r="288" spans="1:11" s="1" customFormat="1" ht="60" x14ac:dyDescent="0.2">
      <c r="A288" s="7">
        <v>60</v>
      </c>
      <c r="B288" s="38">
        <v>44604</v>
      </c>
      <c r="C288" s="9" t="s">
        <v>82</v>
      </c>
      <c r="D288" s="9" t="s">
        <v>71</v>
      </c>
      <c r="E288" s="9" t="s">
        <v>83</v>
      </c>
      <c r="F288" s="9" t="s">
        <v>62</v>
      </c>
      <c r="G288" s="54">
        <v>48000</v>
      </c>
      <c r="H288" s="54">
        <v>8640</v>
      </c>
      <c r="I288" s="54">
        <f t="shared" si="11"/>
        <v>56640</v>
      </c>
      <c r="J288" s="58" t="e">
        <f>+#REF!+#REF!+#REF!+#REF!</f>
        <v>#REF!</v>
      </c>
      <c r="K288" s="58" t="s">
        <v>1940</v>
      </c>
    </row>
    <row r="289" spans="1:11" s="1" customFormat="1" ht="60" x14ac:dyDescent="0.2">
      <c r="A289" s="7">
        <v>61</v>
      </c>
      <c r="B289" s="38">
        <v>44809</v>
      </c>
      <c r="C289" s="9" t="s">
        <v>146</v>
      </c>
      <c r="D289" s="9" t="s">
        <v>71</v>
      </c>
      <c r="E289" s="9" t="s">
        <v>147</v>
      </c>
      <c r="F289" s="9" t="s">
        <v>145</v>
      </c>
      <c r="G289" s="54">
        <v>15000</v>
      </c>
      <c r="H289" s="54">
        <f>1350*2</f>
        <v>2700</v>
      </c>
      <c r="I289" s="54">
        <f t="shared" si="11"/>
        <v>17700</v>
      </c>
      <c r="J289" s="58" t="e">
        <f>+#REF!+#REF!+#REF!+#REF!-1</f>
        <v>#REF!</v>
      </c>
      <c r="K289" s="8">
        <v>44817</v>
      </c>
    </row>
    <row r="290" spans="1:11" s="1" customFormat="1" ht="45" x14ac:dyDescent="0.2">
      <c r="A290" s="7">
        <v>62</v>
      </c>
      <c r="B290" s="38">
        <v>44855</v>
      </c>
      <c r="C290" s="9" t="s">
        <v>476</v>
      </c>
      <c r="D290" s="9" t="s">
        <v>71</v>
      </c>
      <c r="E290" s="9" t="s">
        <v>1289</v>
      </c>
      <c r="F290" s="9" t="s">
        <v>637</v>
      </c>
      <c r="G290" s="54">
        <v>9200</v>
      </c>
      <c r="H290" s="54">
        <v>0</v>
      </c>
      <c r="I290" s="54">
        <f t="shared" si="11"/>
        <v>9200</v>
      </c>
      <c r="J290" s="58" t="e">
        <f>+#REF!+#REF!+#REF!+#REF!</f>
        <v>#REF!</v>
      </c>
      <c r="K290" s="38">
        <v>44855</v>
      </c>
    </row>
    <row r="291" spans="1:11" s="1" customFormat="1" ht="60" x14ac:dyDescent="0.2">
      <c r="A291" s="7">
        <v>63</v>
      </c>
      <c r="B291" s="38">
        <v>44857</v>
      </c>
      <c r="C291" s="9" t="s">
        <v>972</v>
      </c>
      <c r="D291" s="9" t="s">
        <v>71</v>
      </c>
      <c r="E291" s="9" t="s">
        <v>973</v>
      </c>
      <c r="F291" s="9" t="s">
        <v>441</v>
      </c>
      <c r="G291" s="54">
        <v>4060</v>
      </c>
      <c r="H291" s="54">
        <f>365+365</f>
        <v>730</v>
      </c>
      <c r="I291" s="54">
        <f t="shared" si="11"/>
        <v>4790</v>
      </c>
      <c r="J291" s="58" t="e">
        <f>+#REF!+#REF!+#REF!+#REF!+1</f>
        <v>#REF!</v>
      </c>
      <c r="K291" s="8">
        <v>44881</v>
      </c>
    </row>
    <row r="292" spans="1:11" s="1" customFormat="1" ht="45" x14ac:dyDescent="0.2">
      <c r="A292" s="7">
        <v>64</v>
      </c>
      <c r="B292" s="38">
        <v>44909</v>
      </c>
      <c r="C292" s="9" t="s">
        <v>648</v>
      </c>
      <c r="D292" s="9" t="s">
        <v>71</v>
      </c>
      <c r="E292" s="9" t="s">
        <v>649</v>
      </c>
      <c r="F292" s="9" t="s">
        <v>588</v>
      </c>
      <c r="G292" s="54">
        <v>240000</v>
      </c>
      <c r="H292" s="54">
        <f>21600*2</f>
        <v>43200</v>
      </c>
      <c r="I292" s="54">
        <f t="shared" ref="I292:I353" si="12">+G292+H292</f>
        <v>283200</v>
      </c>
      <c r="J292" s="58" t="e">
        <f>+#REF!+#REF!+#REF!+#REF!</f>
        <v>#REF!</v>
      </c>
      <c r="K292" s="58" t="s">
        <v>2021</v>
      </c>
    </row>
    <row r="293" spans="1:11" s="1" customFormat="1" ht="45" x14ac:dyDescent="0.2">
      <c r="A293" s="7">
        <v>65</v>
      </c>
      <c r="B293" s="38">
        <v>44934</v>
      </c>
      <c r="C293" s="9">
        <v>141043</v>
      </c>
      <c r="D293" s="9" t="s">
        <v>71</v>
      </c>
      <c r="E293" s="9" t="s">
        <v>761</v>
      </c>
      <c r="F293" s="9" t="s">
        <v>672</v>
      </c>
      <c r="G293" s="54">
        <v>80001</v>
      </c>
      <c r="H293" s="54">
        <f>7200+7200</f>
        <v>14400</v>
      </c>
      <c r="I293" s="54">
        <f t="shared" si="12"/>
        <v>94401</v>
      </c>
      <c r="J293" s="58" t="e">
        <f>+#REF!+#REF!+#REF!+#REF!</f>
        <v>#REF!</v>
      </c>
      <c r="K293" s="8">
        <v>44916</v>
      </c>
    </row>
    <row r="294" spans="1:11" s="1" customFormat="1" ht="75" x14ac:dyDescent="0.2">
      <c r="A294" s="7">
        <v>66</v>
      </c>
      <c r="B294" s="38">
        <v>44940</v>
      </c>
      <c r="C294" s="9" t="s">
        <v>769</v>
      </c>
      <c r="D294" s="9" t="s">
        <v>71</v>
      </c>
      <c r="E294" s="9" t="s">
        <v>770</v>
      </c>
      <c r="F294" s="9" t="s">
        <v>39</v>
      </c>
      <c r="G294" s="54">
        <v>151245.5</v>
      </c>
      <c r="H294" s="54">
        <f>13612+13612</f>
        <v>27224</v>
      </c>
      <c r="I294" s="54">
        <f t="shared" si="12"/>
        <v>178469.5</v>
      </c>
      <c r="J294" s="58" t="e">
        <f>+#REF!+#REF!+#REF!+#REF!+0.5</f>
        <v>#REF!</v>
      </c>
      <c r="K294" s="8">
        <v>44972</v>
      </c>
    </row>
    <row r="295" spans="1:11" s="1" customFormat="1" ht="45" x14ac:dyDescent="0.2">
      <c r="A295" s="7">
        <v>67</v>
      </c>
      <c r="B295" s="38">
        <v>44957</v>
      </c>
      <c r="C295" s="9">
        <v>29392</v>
      </c>
      <c r="D295" s="9" t="s">
        <v>71</v>
      </c>
      <c r="E295" s="9" t="s">
        <v>790</v>
      </c>
      <c r="F295" s="9" t="s">
        <v>45</v>
      </c>
      <c r="G295" s="54">
        <v>156282</v>
      </c>
      <c r="H295" s="54">
        <f>14065+14065</f>
        <v>28130</v>
      </c>
      <c r="I295" s="54">
        <f t="shared" si="12"/>
        <v>184412</v>
      </c>
      <c r="J295" s="58" t="e">
        <f>+#REF!+#REF!+#REF!+#REF!+1</f>
        <v>#REF!</v>
      </c>
      <c r="K295" s="8">
        <v>44953</v>
      </c>
    </row>
    <row r="296" spans="1:11" s="1" customFormat="1" ht="45" x14ac:dyDescent="0.2">
      <c r="A296" s="7">
        <v>68</v>
      </c>
      <c r="B296" s="38">
        <v>44933</v>
      </c>
      <c r="C296" s="9" t="s">
        <v>804</v>
      </c>
      <c r="D296" s="9" t="s">
        <v>71</v>
      </c>
      <c r="E296" s="9" t="s">
        <v>805</v>
      </c>
      <c r="F296" s="9" t="s">
        <v>106</v>
      </c>
      <c r="G296" s="54">
        <v>1166</v>
      </c>
      <c r="H296" s="54">
        <v>0</v>
      </c>
      <c r="I296" s="54">
        <f t="shared" si="12"/>
        <v>1166</v>
      </c>
      <c r="J296" s="58" t="e">
        <f>+#REF!+#REF!+#REF!+#REF!</f>
        <v>#REF!</v>
      </c>
      <c r="K296" s="8">
        <v>44943</v>
      </c>
    </row>
    <row r="297" spans="1:11" s="1" customFormat="1" ht="45" x14ac:dyDescent="0.2">
      <c r="A297" s="7">
        <v>69</v>
      </c>
      <c r="B297" s="38">
        <v>44943</v>
      </c>
      <c r="C297" s="9" t="s">
        <v>826</v>
      </c>
      <c r="D297" s="9" t="s">
        <v>71</v>
      </c>
      <c r="E297" s="9" t="s">
        <v>827</v>
      </c>
      <c r="F297" s="9" t="s">
        <v>447</v>
      </c>
      <c r="G297" s="54">
        <v>8933.76</v>
      </c>
      <c r="H297" s="54">
        <f>804+804</f>
        <v>1608</v>
      </c>
      <c r="I297" s="54">
        <f t="shared" si="12"/>
        <v>10541.76</v>
      </c>
      <c r="J297" s="58" t="e">
        <f>+#REF!+#REF!+#REF!+#REF!+0.24</f>
        <v>#REF!</v>
      </c>
      <c r="K297" s="8">
        <v>44980</v>
      </c>
    </row>
    <row r="298" spans="1:11" s="1" customFormat="1" ht="60" x14ac:dyDescent="0.2">
      <c r="A298" s="7">
        <v>70</v>
      </c>
      <c r="B298" s="38">
        <v>44945</v>
      </c>
      <c r="C298" s="9" t="s">
        <v>837</v>
      </c>
      <c r="D298" s="9" t="s">
        <v>71</v>
      </c>
      <c r="E298" s="9" t="s">
        <v>838</v>
      </c>
      <c r="F298" s="9" t="s">
        <v>211</v>
      </c>
      <c r="G298" s="54">
        <v>3610</v>
      </c>
      <c r="H298" s="54">
        <f>325+325</f>
        <v>650</v>
      </c>
      <c r="I298" s="54">
        <f t="shared" si="12"/>
        <v>4260</v>
      </c>
      <c r="J298" s="58" t="e">
        <f>+#REF!+#REF!+#REF!+#REF!</f>
        <v>#REF!</v>
      </c>
      <c r="K298" s="8">
        <v>44980</v>
      </c>
    </row>
    <row r="299" spans="1:11" s="1" customFormat="1" ht="45" x14ac:dyDescent="0.2">
      <c r="A299" s="7">
        <v>71</v>
      </c>
      <c r="B299" s="38">
        <v>44953</v>
      </c>
      <c r="C299" s="9" t="s">
        <v>476</v>
      </c>
      <c r="D299" s="9" t="s">
        <v>71</v>
      </c>
      <c r="E299" s="9" t="s">
        <v>830</v>
      </c>
      <c r="F299" s="9" t="s">
        <v>762</v>
      </c>
      <c r="G299" s="54">
        <v>1500</v>
      </c>
      <c r="H299" s="54">
        <v>0</v>
      </c>
      <c r="I299" s="54">
        <f t="shared" si="12"/>
        <v>1500</v>
      </c>
      <c r="J299" s="58" t="e">
        <f>+#REF!+#REF!+#REF!+#REF!</f>
        <v>#REF!</v>
      </c>
      <c r="K299" s="8">
        <v>44953</v>
      </c>
    </row>
    <row r="300" spans="1:11" s="1" customFormat="1" ht="60" x14ac:dyDescent="0.2">
      <c r="A300" s="7">
        <v>72</v>
      </c>
      <c r="B300" s="38">
        <v>44953</v>
      </c>
      <c r="C300" s="9" t="s">
        <v>841</v>
      </c>
      <c r="D300" s="9" t="s">
        <v>71</v>
      </c>
      <c r="E300" s="9" t="s">
        <v>842</v>
      </c>
      <c r="F300" s="9" t="s">
        <v>39</v>
      </c>
      <c r="G300" s="54">
        <v>376295</v>
      </c>
      <c r="H300" s="54">
        <f>33867+33867</f>
        <v>67734</v>
      </c>
      <c r="I300" s="54">
        <f t="shared" si="12"/>
        <v>444029</v>
      </c>
      <c r="J300" s="58" t="e">
        <f>+#REF!+#REF!+#REF!+#REF!-1</f>
        <v>#REF!</v>
      </c>
      <c r="K300" s="8">
        <v>44972</v>
      </c>
    </row>
    <row r="301" spans="1:11" s="1" customFormat="1" ht="75" x14ac:dyDescent="0.2">
      <c r="A301" s="7">
        <v>73</v>
      </c>
      <c r="B301" s="38">
        <v>44954</v>
      </c>
      <c r="C301" s="9" t="s">
        <v>843</v>
      </c>
      <c r="D301" s="9" t="s">
        <v>71</v>
      </c>
      <c r="E301" s="9" t="s">
        <v>844</v>
      </c>
      <c r="F301" s="9" t="s">
        <v>447</v>
      </c>
      <c r="G301" s="54">
        <v>19663.2</v>
      </c>
      <c r="H301" s="54">
        <f>1770+1770</f>
        <v>3540</v>
      </c>
      <c r="I301" s="54">
        <f t="shared" si="12"/>
        <v>23203.200000000001</v>
      </c>
      <c r="J301" s="58" t="e">
        <f>+#REF!+#REF!+#REF!+#REF!-0.2</f>
        <v>#REF!</v>
      </c>
      <c r="K301" s="8">
        <v>44980</v>
      </c>
    </row>
    <row r="302" spans="1:11" s="1" customFormat="1" ht="45" x14ac:dyDescent="0.2">
      <c r="A302" s="7">
        <v>74</v>
      </c>
      <c r="B302" s="38">
        <v>44954</v>
      </c>
      <c r="C302" s="9" t="s">
        <v>831</v>
      </c>
      <c r="D302" s="9" t="s">
        <v>71</v>
      </c>
      <c r="E302" s="9" t="s">
        <v>832</v>
      </c>
      <c r="F302" s="9" t="s">
        <v>39</v>
      </c>
      <c r="G302" s="54">
        <v>113400</v>
      </c>
      <c r="H302" s="54">
        <f>10206+10206</f>
        <v>20412</v>
      </c>
      <c r="I302" s="54">
        <f t="shared" si="12"/>
        <v>133812</v>
      </c>
      <c r="J302" s="58" t="e">
        <f>+#REF!+#REF!+#REF!+#REF!</f>
        <v>#REF!</v>
      </c>
      <c r="K302" s="8">
        <v>44956</v>
      </c>
    </row>
    <row r="303" spans="1:11" s="1" customFormat="1" ht="75" x14ac:dyDescent="0.2">
      <c r="A303" s="7">
        <v>75</v>
      </c>
      <c r="B303" s="38">
        <v>44956</v>
      </c>
      <c r="C303" s="9" t="s">
        <v>847</v>
      </c>
      <c r="D303" s="9" t="s">
        <v>71</v>
      </c>
      <c r="E303" s="9" t="s">
        <v>848</v>
      </c>
      <c r="F303" s="9" t="s">
        <v>39</v>
      </c>
      <c r="G303" s="54">
        <v>76730</v>
      </c>
      <c r="H303" s="54">
        <f>6906+6906</f>
        <v>13812</v>
      </c>
      <c r="I303" s="54">
        <f t="shared" si="12"/>
        <v>90542</v>
      </c>
      <c r="J303" s="58" t="e">
        <f>+#REF!+#REF!+#REF!+#REF!-1</f>
        <v>#REF!</v>
      </c>
      <c r="K303" s="8">
        <v>44972</v>
      </c>
    </row>
    <row r="304" spans="1:11" s="1" customFormat="1" ht="45" x14ac:dyDescent="0.2">
      <c r="A304" s="7">
        <v>76</v>
      </c>
      <c r="B304" s="38">
        <v>44956</v>
      </c>
      <c r="C304" s="9" t="s">
        <v>863</v>
      </c>
      <c r="D304" s="9" t="s">
        <v>71</v>
      </c>
      <c r="E304" s="9" t="s">
        <v>864</v>
      </c>
      <c r="F304" s="9" t="s">
        <v>158</v>
      </c>
      <c r="G304" s="54">
        <v>10050</v>
      </c>
      <c r="H304" s="54">
        <v>0</v>
      </c>
      <c r="I304" s="54">
        <f t="shared" si="12"/>
        <v>10050</v>
      </c>
      <c r="J304" s="58" t="e">
        <f>+#REF!+#REF!+#REF!+#REF!</f>
        <v>#REF!</v>
      </c>
      <c r="K304" s="8">
        <v>44970</v>
      </c>
    </row>
    <row r="305" spans="1:13" s="1" customFormat="1" ht="45" x14ac:dyDescent="0.2">
      <c r="A305" s="7">
        <v>77</v>
      </c>
      <c r="B305" s="38">
        <v>44957</v>
      </c>
      <c r="C305" s="9" t="s">
        <v>865</v>
      </c>
      <c r="D305" s="9" t="s">
        <v>71</v>
      </c>
      <c r="E305" s="9" t="s">
        <v>866</v>
      </c>
      <c r="F305" s="9" t="s">
        <v>426</v>
      </c>
      <c r="G305" s="54">
        <v>123328.66</v>
      </c>
      <c r="H305" s="54">
        <f>11100+11100</f>
        <v>22200</v>
      </c>
      <c r="I305" s="54">
        <f t="shared" si="12"/>
        <v>145528.66</v>
      </c>
      <c r="J305" s="58" t="e">
        <f>+#REF!+#REF!+#REF!+#REF!+0.34</f>
        <v>#REF!</v>
      </c>
      <c r="K305" s="8">
        <v>44967</v>
      </c>
    </row>
    <row r="306" spans="1:13" s="1" customFormat="1" ht="45" x14ac:dyDescent="0.2">
      <c r="A306" s="7">
        <v>78</v>
      </c>
      <c r="B306" s="38">
        <v>44957</v>
      </c>
      <c r="C306" s="9" t="s">
        <v>875</v>
      </c>
      <c r="D306" s="9" t="s">
        <v>71</v>
      </c>
      <c r="E306" s="9" t="s">
        <v>876</v>
      </c>
      <c r="F306" s="9" t="s">
        <v>447</v>
      </c>
      <c r="G306" s="54">
        <v>1605.12</v>
      </c>
      <c r="H306" s="54">
        <f>144+144</f>
        <v>288</v>
      </c>
      <c r="I306" s="54">
        <f t="shared" si="12"/>
        <v>1893.12</v>
      </c>
      <c r="J306" s="58" t="e">
        <f>+#REF!+#REF!+#REF!+#REF!+0.88</f>
        <v>#REF!</v>
      </c>
      <c r="K306" s="8">
        <v>44980</v>
      </c>
    </row>
    <row r="307" spans="1:13" s="1" customFormat="1" ht="45" x14ac:dyDescent="0.2">
      <c r="A307" s="7">
        <v>79</v>
      </c>
      <c r="B307" s="38">
        <v>44961</v>
      </c>
      <c r="C307" s="9" t="s">
        <v>879</v>
      </c>
      <c r="D307" s="9" t="s">
        <v>71</v>
      </c>
      <c r="E307" s="9" t="s">
        <v>880</v>
      </c>
      <c r="F307" s="9" t="s">
        <v>447</v>
      </c>
      <c r="G307" s="54">
        <v>7321.6</v>
      </c>
      <c r="H307" s="54">
        <f>659+659</f>
        <v>1318</v>
      </c>
      <c r="I307" s="54">
        <f t="shared" si="12"/>
        <v>8639.6</v>
      </c>
      <c r="J307" s="58" t="e">
        <f>+#REF!+#REF!+#REF!+#REF!-0.6</f>
        <v>#REF!</v>
      </c>
      <c r="K307" s="8">
        <v>45008</v>
      </c>
    </row>
    <row r="308" spans="1:13" s="1" customFormat="1" ht="60" x14ac:dyDescent="0.2">
      <c r="A308" s="7">
        <v>80</v>
      </c>
      <c r="B308" s="38">
        <v>44971</v>
      </c>
      <c r="C308" s="9">
        <v>65699</v>
      </c>
      <c r="D308" s="9" t="s">
        <v>71</v>
      </c>
      <c r="E308" s="9" t="s">
        <v>1053</v>
      </c>
      <c r="F308" s="9" t="s">
        <v>208</v>
      </c>
      <c r="G308" s="54">
        <v>4406.3999999999996</v>
      </c>
      <c r="H308" s="54">
        <f>397+397</f>
        <v>794</v>
      </c>
      <c r="I308" s="54">
        <f t="shared" si="12"/>
        <v>5200.3999999999996</v>
      </c>
      <c r="J308" s="58" t="e">
        <f>+#REF!+#REF!+#REF!+#REF!-0.4</f>
        <v>#REF!</v>
      </c>
      <c r="K308" s="8">
        <v>45008</v>
      </c>
    </row>
    <row r="309" spans="1:13" s="1" customFormat="1" ht="45" x14ac:dyDescent="0.2">
      <c r="A309" s="7">
        <v>81</v>
      </c>
      <c r="B309" s="38">
        <v>44979</v>
      </c>
      <c r="C309" s="9" t="s">
        <v>1046</v>
      </c>
      <c r="D309" s="9" t="s">
        <v>71</v>
      </c>
      <c r="E309" s="9" t="s">
        <v>1047</v>
      </c>
      <c r="F309" s="9" t="s">
        <v>447</v>
      </c>
      <c r="G309" s="54">
        <v>5688</v>
      </c>
      <c r="H309" s="54">
        <f>512+512</f>
        <v>1024</v>
      </c>
      <c r="I309" s="54">
        <f t="shared" si="12"/>
        <v>6712</v>
      </c>
      <c r="J309" s="58" t="e">
        <f>+#REF!+#REF!+#REF!+#REF!</f>
        <v>#REF!</v>
      </c>
      <c r="K309" s="8">
        <v>45008</v>
      </c>
    </row>
    <row r="310" spans="1:13" s="1" customFormat="1" ht="45" x14ac:dyDescent="0.2">
      <c r="A310" s="7">
        <v>82</v>
      </c>
      <c r="B310" s="38">
        <v>44985</v>
      </c>
      <c r="C310" s="9"/>
      <c r="D310" s="9" t="s">
        <v>71</v>
      </c>
      <c r="E310" s="9" t="s">
        <v>1704</v>
      </c>
      <c r="F310" s="9" t="s">
        <v>588</v>
      </c>
      <c r="G310" s="54">
        <v>2400</v>
      </c>
      <c r="H310" s="54">
        <v>0</v>
      </c>
      <c r="I310" s="54">
        <f t="shared" si="12"/>
        <v>2400</v>
      </c>
      <c r="J310" s="58" t="e">
        <f>+#REF!+#REF!+#REF!+#REF!</f>
        <v>#REF!</v>
      </c>
      <c r="K310" s="8">
        <v>44909</v>
      </c>
    </row>
    <row r="311" spans="1:13" s="1" customFormat="1" ht="45" x14ac:dyDescent="0.2">
      <c r="A311" s="7">
        <v>83</v>
      </c>
      <c r="B311" s="38">
        <v>44997</v>
      </c>
      <c r="C311" s="9" t="s">
        <v>1039</v>
      </c>
      <c r="D311" s="9" t="s">
        <v>71</v>
      </c>
      <c r="E311" s="9" t="s">
        <v>1040</v>
      </c>
      <c r="F311" s="9" t="s">
        <v>46</v>
      </c>
      <c r="G311" s="54">
        <v>677910</v>
      </c>
      <c r="H311" s="54">
        <f>61012+61012</f>
        <v>122024</v>
      </c>
      <c r="I311" s="54">
        <f t="shared" si="12"/>
        <v>799934</v>
      </c>
      <c r="J311" s="58" t="e">
        <f>+#REF!+#REF!+#REF!+#REF!+66</f>
        <v>#REF!</v>
      </c>
      <c r="K311" s="8">
        <v>44988</v>
      </c>
      <c r="L311" s="17"/>
      <c r="M311" s="17"/>
    </row>
    <row r="312" spans="1:13" s="1" customFormat="1" ht="150" x14ac:dyDescent="0.2">
      <c r="A312" s="7">
        <v>84</v>
      </c>
      <c r="B312" s="38">
        <v>44989</v>
      </c>
      <c r="C312" s="9" t="s">
        <v>1042</v>
      </c>
      <c r="D312" s="9" t="s">
        <v>71</v>
      </c>
      <c r="E312" s="9" t="s">
        <v>1043</v>
      </c>
      <c r="F312" s="9" t="s">
        <v>145</v>
      </c>
      <c r="G312" s="54">
        <v>359465</v>
      </c>
      <c r="H312" s="54">
        <f>32352+32352</f>
        <v>64704</v>
      </c>
      <c r="I312" s="54">
        <f t="shared" si="12"/>
        <v>424169</v>
      </c>
      <c r="J312" s="58" t="e">
        <f>+#REF!+#REF!+#REF!+#REF!</f>
        <v>#REF!</v>
      </c>
      <c r="K312" s="8">
        <v>45003</v>
      </c>
    </row>
    <row r="313" spans="1:13" s="1" customFormat="1" ht="180" x14ac:dyDescent="0.2">
      <c r="A313" s="7">
        <v>85</v>
      </c>
      <c r="B313" s="38">
        <v>44989</v>
      </c>
      <c r="C313" s="9" t="s">
        <v>1044</v>
      </c>
      <c r="D313" s="9" t="s">
        <v>71</v>
      </c>
      <c r="E313" s="9" t="s">
        <v>1045</v>
      </c>
      <c r="F313" s="9" t="s">
        <v>145</v>
      </c>
      <c r="G313" s="54">
        <v>174453.1</v>
      </c>
      <c r="H313" s="54">
        <f>15701+15701</f>
        <v>31402</v>
      </c>
      <c r="I313" s="54">
        <f t="shared" si="12"/>
        <v>205855.1</v>
      </c>
      <c r="J313" s="58" t="e">
        <f>+#REF!+#REF!+#REF!+#REF!-0.1</f>
        <v>#REF!</v>
      </c>
      <c r="K313" s="8">
        <v>45008</v>
      </c>
    </row>
    <row r="314" spans="1:13" s="1" customFormat="1" ht="90" x14ac:dyDescent="0.2">
      <c r="A314" s="7">
        <v>86</v>
      </c>
      <c r="B314" s="38">
        <v>44998</v>
      </c>
      <c r="C314" s="9" t="s">
        <v>1054</v>
      </c>
      <c r="D314" s="9" t="s">
        <v>71</v>
      </c>
      <c r="E314" s="9" t="s">
        <v>1055</v>
      </c>
      <c r="F314" s="9" t="s">
        <v>206</v>
      </c>
      <c r="G314" s="54">
        <v>23054.400000000001</v>
      </c>
      <c r="H314" s="54">
        <f>2075+2075</f>
        <v>4150</v>
      </c>
      <c r="I314" s="54">
        <f t="shared" si="12"/>
        <v>27204.400000000001</v>
      </c>
      <c r="J314" s="58" t="e">
        <f>+#REF!+#REF!+#REF!+#REF!-0.4</f>
        <v>#REF!</v>
      </c>
      <c r="K314" s="8">
        <v>45043</v>
      </c>
    </row>
    <row r="315" spans="1:13" s="1" customFormat="1" ht="90" x14ac:dyDescent="0.2">
      <c r="A315" s="7">
        <v>87</v>
      </c>
      <c r="B315" s="38">
        <v>44998</v>
      </c>
      <c r="C315" s="9" t="s">
        <v>1056</v>
      </c>
      <c r="D315" s="9" t="s">
        <v>71</v>
      </c>
      <c r="E315" s="9" t="s">
        <v>1057</v>
      </c>
      <c r="F315" s="9" t="s">
        <v>206</v>
      </c>
      <c r="G315" s="54">
        <v>21270.799999999999</v>
      </c>
      <c r="H315" s="54">
        <f>1914+1914</f>
        <v>3828</v>
      </c>
      <c r="I315" s="54">
        <f t="shared" si="12"/>
        <v>25098.799999999999</v>
      </c>
      <c r="J315" s="58" t="e">
        <f>+#REF!+#REF!+#REF!+#REF!+1.2</f>
        <v>#REF!</v>
      </c>
      <c r="K315" s="8">
        <v>45043</v>
      </c>
    </row>
    <row r="316" spans="1:13" s="1" customFormat="1" ht="90" x14ac:dyDescent="0.2">
      <c r="A316" s="7">
        <v>88</v>
      </c>
      <c r="B316" s="38">
        <v>45000</v>
      </c>
      <c r="C316" s="9" t="s">
        <v>1058</v>
      </c>
      <c r="D316" s="9" t="s">
        <v>71</v>
      </c>
      <c r="E316" s="9" t="s">
        <v>1059</v>
      </c>
      <c r="F316" s="9" t="s">
        <v>441</v>
      </c>
      <c r="G316" s="54">
        <v>8670</v>
      </c>
      <c r="H316" s="54">
        <f>780+780</f>
        <v>1560</v>
      </c>
      <c r="I316" s="54">
        <f t="shared" si="12"/>
        <v>10230</v>
      </c>
      <c r="J316" s="58" t="e">
        <f>+#REF!+#REF!+#REF!+#REF!+1</f>
        <v>#REF!</v>
      </c>
      <c r="K316" s="8">
        <v>45043</v>
      </c>
    </row>
    <row r="317" spans="1:13" s="1" customFormat="1" ht="45" x14ac:dyDescent="0.2">
      <c r="A317" s="7">
        <v>89</v>
      </c>
      <c r="B317" s="38">
        <v>45002</v>
      </c>
      <c r="C317" s="9" t="s">
        <v>476</v>
      </c>
      <c r="D317" s="9" t="s">
        <v>71</v>
      </c>
      <c r="E317" s="9" t="s">
        <v>1064</v>
      </c>
      <c r="F317" s="9" t="s">
        <v>1065</v>
      </c>
      <c r="G317" s="54">
        <v>1500</v>
      </c>
      <c r="H317" s="54">
        <v>0</v>
      </c>
      <c r="I317" s="54">
        <f t="shared" si="12"/>
        <v>1500</v>
      </c>
      <c r="J317" s="58" t="e">
        <f>+#REF!+#REF!+#REF!+#REF!</f>
        <v>#REF!</v>
      </c>
      <c r="K317" s="8">
        <v>45002</v>
      </c>
    </row>
    <row r="318" spans="1:13" s="1" customFormat="1" ht="120" x14ac:dyDescent="0.2">
      <c r="A318" s="7">
        <v>90</v>
      </c>
      <c r="B318" s="38">
        <v>45010</v>
      </c>
      <c r="C318" s="9" t="s">
        <v>1081</v>
      </c>
      <c r="D318" s="9" t="s">
        <v>71</v>
      </c>
      <c r="E318" s="9" t="s">
        <v>1082</v>
      </c>
      <c r="F318" s="9" t="s">
        <v>447</v>
      </c>
      <c r="G318" s="54">
        <v>48468.6</v>
      </c>
      <c r="H318" s="54">
        <f>4362+4362</f>
        <v>8724</v>
      </c>
      <c r="I318" s="54">
        <f t="shared" si="12"/>
        <v>57192.6</v>
      </c>
      <c r="J318" s="58" t="e">
        <f>+#REF!+#REF!+#REF!+#REF!+0.4</f>
        <v>#REF!</v>
      </c>
      <c r="K318" s="8">
        <v>45043</v>
      </c>
    </row>
    <row r="319" spans="1:13" s="1" customFormat="1" ht="135" x14ac:dyDescent="0.2">
      <c r="A319" s="7">
        <v>91</v>
      </c>
      <c r="B319" s="38">
        <v>45017</v>
      </c>
      <c r="C319" s="9" t="s">
        <v>1176</v>
      </c>
      <c r="D319" s="9" t="s">
        <v>71</v>
      </c>
      <c r="E319" s="9" t="s">
        <v>1177</v>
      </c>
      <c r="F319" s="9" t="s">
        <v>145</v>
      </c>
      <c r="G319" s="54">
        <v>240000</v>
      </c>
      <c r="H319" s="54">
        <f>21600+21600</f>
        <v>43200</v>
      </c>
      <c r="I319" s="54">
        <f t="shared" si="12"/>
        <v>283200</v>
      </c>
      <c r="J319" s="58" t="e">
        <f>+#REF!+#REF!+#REF!+#REF!</f>
        <v>#REF!</v>
      </c>
      <c r="K319" s="8">
        <v>45028</v>
      </c>
    </row>
    <row r="320" spans="1:13" s="1" customFormat="1" ht="45" x14ac:dyDescent="0.2">
      <c r="A320" s="7">
        <v>92</v>
      </c>
      <c r="B320" s="38">
        <v>45019</v>
      </c>
      <c r="C320" s="9" t="s">
        <v>476</v>
      </c>
      <c r="D320" s="9" t="s">
        <v>71</v>
      </c>
      <c r="E320" s="9" t="s">
        <v>1124</v>
      </c>
      <c r="F320" s="9" t="s">
        <v>637</v>
      </c>
      <c r="G320" s="54">
        <v>9000</v>
      </c>
      <c r="H320" s="54">
        <v>0</v>
      </c>
      <c r="I320" s="54">
        <f t="shared" si="12"/>
        <v>9000</v>
      </c>
      <c r="J320" s="58" t="e">
        <f>+#REF!+#REF!+#REF!+#REF!</f>
        <v>#REF!</v>
      </c>
      <c r="K320" s="38">
        <v>45019</v>
      </c>
    </row>
    <row r="321" spans="1:11" s="1" customFormat="1" ht="45" x14ac:dyDescent="0.2">
      <c r="A321" s="7">
        <v>93</v>
      </c>
      <c r="B321" s="38">
        <v>45020</v>
      </c>
      <c r="C321" s="9" t="s">
        <v>476</v>
      </c>
      <c r="D321" s="9" t="s">
        <v>71</v>
      </c>
      <c r="E321" s="9" t="s">
        <v>1124</v>
      </c>
      <c r="F321" s="9" t="s">
        <v>637</v>
      </c>
      <c r="G321" s="54">
        <v>3000</v>
      </c>
      <c r="H321" s="54">
        <v>0</v>
      </c>
      <c r="I321" s="54">
        <f t="shared" si="12"/>
        <v>3000</v>
      </c>
      <c r="J321" s="58" t="e">
        <f>+#REF!+#REF!+#REF!+#REF!</f>
        <v>#REF!</v>
      </c>
      <c r="K321" s="38">
        <v>45020</v>
      </c>
    </row>
    <row r="322" spans="1:11" s="1" customFormat="1" ht="45" x14ac:dyDescent="0.2">
      <c r="A322" s="7">
        <v>94</v>
      </c>
      <c r="B322" s="38">
        <v>45020</v>
      </c>
      <c r="C322" s="9" t="s">
        <v>476</v>
      </c>
      <c r="D322" s="9" t="s">
        <v>71</v>
      </c>
      <c r="E322" s="9" t="s">
        <v>1125</v>
      </c>
      <c r="F322" s="9" t="s">
        <v>1126</v>
      </c>
      <c r="G322" s="54">
        <v>5500</v>
      </c>
      <c r="H322" s="54">
        <v>0</v>
      </c>
      <c r="I322" s="54">
        <f t="shared" si="12"/>
        <v>5500</v>
      </c>
      <c r="J322" s="58" t="e">
        <f>+#REF!+#REF!+#REF!+#REF!</f>
        <v>#REF!</v>
      </c>
      <c r="K322" s="38">
        <v>45020</v>
      </c>
    </row>
    <row r="323" spans="1:11" s="1" customFormat="1" ht="45" x14ac:dyDescent="0.2">
      <c r="A323" s="7">
        <v>95</v>
      </c>
      <c r="B323" s="38">
        <v>45024</v>
      </c>
      <c r="C323" s="9" t="s">
        <v>1302</v>
      </c>
      <c r="D323" s="9" t="s">
        <v>71</v>
      </c>
      <c r="E323" s="9" t="s">
        <v>1303</v>
      </c>
      <c r="F323" s="9" t="s">
        <v>562</v>
      </c>
      <c r="G323" s="54">
        <v>1810</v>
      </c>
      <c r="H323" s="54">
        <f>163+163</f>
        <v>326</v>
      </c>
      <c r="I323" s="54">
        <f t="shared" si="12"/>
        <v>2136</v>
      </c>
      <c r="J323" s="58" t="e">
        <f>+#REF!+#REF!+#REF!+#REF!</f>
        <v>#REF!</v>
      </c>
      <c r="K323" s="8">
        <v>45071</v>
      </c>
    </row>
    <row r="324" spans="1:11" s="1" customFormat="1" ht="45" x14ac:dyDescent="0.2">
      <c r="A324" s="7">
        <v>96</v>
      </c>
      <c r="B324" s="38">
        <v>45024</v>
      </c>
      <c r="C324" s="9" t="s">
        <v>1304</v>
      </c>
      <c r="D324" s="9" t="s">
        <v>71</v>
      </c>
      <c r="E324" s="9" t="s">
        <v>1305</v>
      </c>
      <c r="F324" s="9" t="s">
        <v>562</v>
      </c>
      <c r="G324" s="54">
        <v>2400</v>
      </c>
      <c r="H324" s="54">
        <f>216+216</f>
        <v>432</v>
      </c>
      <c r="I324" s="54">
        <f t="shared" si="12"/>
        <v>2832</v>
      </c>
      <c r="J324" s="58" t="e">
        <f>+#REF!+#REF!+#REF!+#REF!</f>
        <v>#REF!</v>
      </c>
      <c r="K324" s="8">
        <v>45071</v>
      </c>
    </row>
    <row r="325" spans="1:11" s="1" customFormat="1" ht="45" x14ac:dyDescent="0.2">
      <c r="A325" s="7">
        <v>98</v>
      </c>
      <c r="B325" s="38">
        <v>45026</v>
      </c>
      <c r="C325" s="9" t="s">
        <v>1195</v>
      </c>
      <c r="D325" s="9" t="s">
        <v>71</v>
      </c>
      <c r="E325" s="9" t="s">
        <v>1196</v>
      </c>
      <c r="F325" s="9" t="s">
        <v>441</v>
      </c>
      <c r="G325" s="54">
        <v>16800</v>
      </c>
      <c r="H325" s="54">
        <f>1512+1512</f>
        <v>3024</v>
      </c>
      <c r="I325" s="54">
        <f t="shared" si="12"/>
        <v>19824</v>
      </c>
      <c r="J325" s="58" t="e">
        <f>+#REF!+#REF!+#REF!+#REF!</f>
        <v>#REF!</v>
      </c>
      <c r="K325" s="8">
        <v>45076</v>
      </c>
    </row>
    <row r="326" spans="1:11" s="1" customFormat="1" ht="45" x14ac:dyDescent="0.2">
      <c r="A326" s="7">
        <v>99</v>
      </c>
      <c r="B326" s="38">
        <v>45027</v>
      </c>
      <c r="C326" s="9" t="s">
        <v>1310</v>
      </c>
      <c r="D326" s="9" t="s">
        <v>71</v>
      </c>
      <c r="E326" s="9" t="s">
        <v>1314</v>
      </c>
      <c r="F326" s="9" t="s">
        <v>562</v>
      </c>
      <c r="G326" s="54">
        <v>1810</v>
      </c>
      <c r="H326" s="54">
        <f>163+163</f>
        <v>326</v>
      </c>
      <c r="I326" s="54">
        <f t="shared" si="12"/>
        <v>2136</v>
      </c>
      <c r="J326" s="58" t="e">
        <f>+#REF!+#REF!+#REF!+#REF!</f>
        <v>#REF!</v>
      </c>
      <c r="K326" s="8">
        <v>45071</v>
      </c>
    </row>
    <row r="327" spans="1:11" s="1" customFormat="1" ht="45" x14ac:dyDescent="0.2">
      <c r="A327" s="7">
        <v>100</v>
      </c>
      <c r="B327" s="38">
        <v>45029</v>
      </c>
      <c r="C327" s="9" t="s">
        <v>1311</v>
      </c>
      <c r="D327" s="9" t="s">
        <v>71</v>
      </c>
      <c r="E327" s="9" t="s">
        <v>1314</v>
      </c>
      <c r="F327" s="9" t="s">
        <v>562</v>
      </c>
      <c r="G327" s="54">
        <v>2715</v>
      </c>
      <c r="H327" s="54">
        <f>244+244</f>
        <v>488</v>
      </c>
      <c r="I327" s="54">
        <f t="shared" si="12"/>
        <v>3203</v>
      </c>
      <c r="J327" s="58" t="e">
        <f>+#REF!+#REF!+#REF!+#REF!+1</f>
        <v>#REF!</v>
      </c>
      <c r="K327" s="8">
        <v>45071</v>
      </c>
    </row>
    <row r="328" spans="1:11" s="1" customFormat="1" ht="45" x14ac:dyDescent="0.2">
      <c r="A328" s="7">
        <v>101</v>
      </c>
      <c r="B328" s="38">
        <v>45034</v>
      </c>
      <c r="C328" s="9" t="s">
        <v>1312</v>
      </c>
      <c r="D328" s="9" t="s">
        <v>71</v>
      </c>
      <c r="E328" s="9" t="s">
        <v>1313</v>
      </c>
      <c r="F328" s="9" t="s">
        <v>562</v>
      </c>
      <c r="G328" s="54">
        <v>4210</v>
      </c>
      <c r="H328" s="54">
        <f>379+379</f>
        <v>758</v>
      </c>
      <c r="I328" s="54">
        <f t="shared" si="12"/>
        <v>4968</v>
      </c>
      <c r="J328" s="58" t="e">
        <f>+#REF!+#REF!+#REF!+#REF!</f>
        <v>#REF!</v>
      </c>
      <c r="K328" s="8">
        <v>45071</v>
      </c>
    </row>
    <row r="329" spans="1:11" s="1" customFormat="1" ht="45" x14ac:dyDescent="0.2">
      <c r="A329" s="7">
        <v>102</v>
      </c>
      <c r="B329" s="38">
        <v>45036</v>
      </c>
      <c r="C329" s="9" t="s">
        <v>476</v>
      </c>
      <c r="D329" s="9" t="s">
        <v>71</v>
      </c>
      <c r="E329" s="9" t="s">
        <v>1221</v>
      </c>
      <c r="F329" s="9" t="s">
        <v>1123</v>
      </c>
      <c r="G329" s="54">
        <v>10000</v>
      </c>
      <c r="H329" s="54">
        <v>0</v>
      </c>
      <c r="I329" s="54">
        <f t="shared" si="12"/>
        <v>10000</v>
      </c>
      <c r="J329" s="58" t="e">
        <f>+#REF!+#REF!+#REF!+#REF!</f>
        <v>#REF!</v>
      </c>
      <c r="K329" s="58"/>
    </row>
    <row r="330" spans="1:11" s="1" customFormat="1" ht="60" x14ac:dyDescent="0.2">
      <c r="A330" s="7">
        <v>103</v>
      </c>
      <c r="B330" s="38">
        <v>45036</v>
      </c>
      <c r="C330" s="9">
        <v>8</v>
      </c>
      <c r="D330" s="9" t="s">
        <v>71</v>
      </c>
      <c r="E330" s="9" t="s">
        <v>1317</v>
      </c>
      <c r="F330" s="9" t="s">
        <v>1318</v>
      </c>
      <c r="G330" s="54">
        <v>8100</v>
      </c>
      <c r="H330" s="54">
        <v>0</v>
      </c>
      <c r="I330" s="54">
        <f t="shared" si="12"/>
        <v>8100</v>
      </c>
      <c r="J330" s="58" t="e">
        <f>+#REF!+#REF!+#REF!+#REF!</f>
        <v>#REF!</v>
      </c>
      <c r="K330" s="8">
        <v>45041</v>
      </c>
    </row>
    <row r="331" spans="1:11" s="1" customFormat="1" ht="45" x14ac:dyDescent="0.2">
      <c r="A331" s="7">
        <v>104</v>
      </c>
      <c r="B331" s="38">
        <v>45037</v>
      </c>
      <c r="C331" s="9" t="s">
        <v>476</v>
      </c>
      <c r="D331" s="9" t="s">
        <v>71</v>
      </c>
      <c r="E331" s="9" t="s">
        <v>1221</v>
      </c>
      <c r="F331" s="9" t="s">
        <v>1123</v>
      </c>
      <c r="G331" s="54">
        <v>10000</v>
      </c>
      <c r="H331" s="54">
        <v>0</v>
      </c>
      <c r="I331" s="54">
        <f t="shared" si="12"/>
        <v>10000</v>
      </c>
      <c r="J331" s="58" t="e">
        <f>+#REF!+#REF!+#REF!+#REF!</f>
        <v>#REF!</v>
      </c>
      <c r="K331" s="58"/>
    </row>
    <row r="332" spans="1:11" s="1" customFormat="1" ht="90" x14ac:dyDescent="0.2">
      <c r="A332" s="7">
        <v>105</v>
      </c>
      <c r="B332" s="38">
        <v>45037</v>
      </c>
      <c r="C332" s="9">
        <v>3</v>
      </c>
      <c r="D332" s="9" t="s">
        <v>71</v>
      </c>
      <c r="E332" s="9" t="s">
        <v>1322</v>
      </c>
      <c r="F332" s="9" t="s">
        <v>1323</v>
      </c>
      <c r="G332" s="54">
        <v>292810</v>
      </c>
      <c r="H332" s="54">
        <f>26353+26353</f>
        <v>52706</v>
      </c>
      <c r="I332" s="54">
        <f t="shared" si="12"/>
        <v>345516</v>
      </c>
      <c r="J332" s="58" t="e">
        <f>+#REF!+#REF!+#REF!+#REF!</f>
        <v>#REF!</v>
      </c>
      <c r="K332" s="8">
        <v>45056</v>
      </c>
    </row>
    <row r="333" spans="1:11" s="1" customFormat="1" ht="45" x14ac:dyDescent="0.2">
      <c r="A333" s="7">
        <v>106</v>
      </c>
      <c r="B333" s="38">
        <v>45037</v>
      </c>
      <c r="C333" s="9">
        <v>6</v>
      </c>
      <c r="D333" s="9" t="s">
        <v>71</v>
      </c>
      <c r="E333" s="9" t="s">
        <v>1324</v>
      </c>
      <c r="F333" s="9" t="s">
        <v>1323</v>
      </c>
      <c r="G333" s="54">
        <v>9000</v>
      </c>
      <c r="H333" s="54">
        <f>225+225</f>
        <v>450</v>
      </c>
      <c r="I333" s="54">
        <f t="shared" si="12"/>
        <v>9450</v>
      </c>
      <c r="J333" s="58" t="e">
        <f>+#REF!+#REF!+#REF!+#REF!</f>
        <v>#REF!</v>
      </c>
      <c r="K333" s="8">
        <v>45056</v>
      </c>
    </row>
    <row r="334" spans="1:11" s="1" customFormat="1" ht="75" x14ac:dyDescent="0.2">
      <c r="A334" s="7">
        <v>107</v>
      </c>
      <c r="B334" s="38">
        <v>45037</v>
      </c>
      <c r="C334" s="9">
        <v>5</v>
      </c>
      <c r="D334" s="9" t="s">
        <v>71</v>
      </c>
      <c r="E334" s="9" t="s">
        <v>1326</v>
      </c>
      <c r="F334" s="9" t="s">
        <v>1323</v>
      </c>
      <c r="G334" s="54">
        <v>233960</v>
      </c>
      <c r="H334" s="54">
        <f>21056+21056</f>
        <v>42112</v>
      </c>
      <c r="I334" s="54">
        <f t="shared" si="12"/>
        <v>276072</v>
      </c>
      <c r="J334" s="58" t="e">
        <f>+#REF!+#REF!+#REF!+#REF!</f>
        <v>#REF!</v>
      </c>
      <c r="K334" s="8" t="s">
        <v>1965</v>
      </c>
    </row>
    <row r="335" spans="1:11" s="1" customFormat="1" ht="45" x14ac:dyDescent="0.2">
      <c r="A335" s="7">
        <v>108</v>
      </c>
      <c r="B335" s="38">
        <v>45037</v>
      </c>
      <c r="C335" s="9">
        <v>9</v>
      </c>
      <c r="D335" s="9" t="s">
        <v>71</v>
      </c>
      <c r="E335" s="9" t="s">
        <v>1325</v>
      </c>
      <c r="F335" s="9" t="s">
        <v>1318</v>
      </c>
      <c r="G335" s="54">
        <v>6450</v>
      </c>
      <c r="H335" s="54">
        <v>0</v>
      </c>
      <c r="I335" s="54">
        <f t="shared" si="12"/>
        <v>6450</v>
      </c>
      <c r="J335" s="58" t="e">
        <f>+#REF!+#REF!+#REF!+#REF!</f>
        <v>#REF!</v>
      </c>
      <c r="K335" s="8">
        <v>45041</v>
      </c>
    </row>
    <row r="336" spans="1:11" s="1" customFormat="1" ht="45" x14ac:dyDescent="0.2">
      <c r="A336" s="7">
        <v>109</v>
      </c>
      <c r="B336" s="38">
        <v>45038</v>
      </c>
      <c r="C336" s="9" t="s">
        <v>476</v>
      </c>
      <c r="D336" s="9" t="s">
        <v>71</v>
      </c>
      <c r="E336" s="9" t="s">
        <v>1225</v>
      </c>
      <c r="F336" s="9" t="s">
        <v>1224</v>
      </c>
      <c r="G336" s="54">
        <v>2000</v>
      </c>
      <c r="H336" s="54">
        <v>0</v>
      </c>
      <c r="I336" s="54">
        <f t="shared" si="12"/>
        <v>2000</v>
      </c>
      <c r="J336" s="58" t="e">
        <f>+#REF!+#REF!+#REF!+#REF!</f>
        <v>#REF!</v>
      </c>
      <c r="K336" s="38">
        <v>45038</v>
      </c>
    </row>
    <row r="337" spans="1:11" s="1" customFormat="1" ht="45" x14ac:dyDescent="0.2">
      <c r="A337" s="7">
        <v>110</v>
      </c>
      <c r="B337" s="38">
        <v>45038</v>
      </c>
      <c r="C337" s="9" t="s">
        <v>476</v>
      </c>
      <c r="D337" s="9" t="s">
        <v>71</v>
      </c>
      <c r="E337" s="9" t="s">
        <v>1221</v>
      </c>
      <c r="F337" s="9" t="s">
        <v>1123</v>
      </c>
      <c r="G337" s="54">
        <v>10000</v>
      </c>
      <c r="H337" s="54">
        <v>0</v>
      </c>
      <c r="I337" s="54">
        <f t="shared" si="12"/>
        <v>10000</v>
      </c>
      <c r="J337" s="58" t="e">
        <f>+#REF!+#REF!+#REF!+#REF!</f>
        <v>#REF!</v>
      </c>
      <c r="K337" s="58"/>
    </row>
    <row r="338" spans="1:11" s="1" customFormat="1" ht="45" x14ac:dyDescent="0.2">
      <c r="A338" s="7">
        <v>111</v>
      </c>
      <c r="B338" s="38">
        <v>45038</v>
      </c>
      <c r="C338" s="9" t="s">
        <v>1331</v>
      </c>
      <c r="D338" s="9" t="s">
        <v>71</v>
      </c>
      <c r="E338" s="9" t="s">
        <v>1332</v>
      </c>
      <c r="F338" s="9" t="s">
        <v>447</v>
      </c>
      <c r="G338" s="54">
        <v>57660</v>
      </c>
      <c r="H338" s="54">
        <f>5189+5189</f>
        <v>10378</v>
      </c>
      <c r="I338" s="54">
        <f t="shared" si="12"/>
        <v>68038</v>
      </c>
      <c r="J338" s="58" t="e">
        <f>+#REF!+#REF!+#REF!+#REF!+1</f>
        <v>#REF!</v>
      </c>
      <c r="K338" s="8">
        <v>45086</v>
      </c>
    </row>
    <row r="339" spans="1:11" s="1" customFormat="1" ht="45" x14ac:dyDescent="0.2">
      <c r="A339" s="7">
        <v>112</v>
      </c>
      <c r="B339" s="38">
        <v>45039</v>
      </c>
      <c r="C339" s="9" t="s">
        <v>476</v>
      </c>
      <c r="D339" s="9" t="s">
        <v>71</v>
      </c>
      <c r="E339" s="9" t="s">
        <v>1221</v>
      </c>
      <c r="F339" s="9" t="s">
        <v>1123</v>
      </c>
      <c r="G339" s="54">
        <v>6000</v>
      </c>
      <c r="H339" s="54">
        <v>0</v>
      </c>
      <c r="I339" s="54">
        <f t="shared" si="12"/>
        <v>6000</v>
      </c>
      <c r="J339" s="58" t="e">
        <f>+#REF!+#REF!+#REF!+#REF!</f>
        <v>#REF!</v>
      </c>
      <c r="K339" s="58"/>
    </row>
    <row r="340" spans="1:11" s="1" customFormat="1" ht="45" x14ac:dyDescent="0.2">
      <c r="A340" s="7">
        <v>113</v>
      </c>
      <c r="B340" s="38">
        <v>45039</v>
      </c>
      <c r="C340" s="9">
        <v>8</v>
      </c>
      <c r="D340" s="9" t="s">
        <v>71</v>
      </c>
      <c r="E340" s="9" t="s">
        <v>1333</v>
      </c>
      <c r="F340" s="9" t="s">
        <v>1323</v>
      </c>
      <c r="G340" s="54">
        <v>31650</v>
      </c>
      <c r="H340" s="54">
        <f>2849+2849</f>
        <v>5698</v>
      </c>
      <c r="I340" s="54">
        <f t="shared" si="12"/>
        <v>37348</v>
      </c>
      <c r="J340" s="58" t="e">
        <f>+#REF!+#REF!+#REF!+#REF!</f>
        <v>#REF!</v>
      </c>
      <c r="K340" s="8">
        <v>45056</v>
      </c>
    </row>
    <row r="341" spans="1:11" s="1" customFormat="1" ht="60" x14ac:dyDescent="0.2">
      <c r="A341" s="7">
        <v>114</v>
      </c>
      <c r="B341" s="38">
        <v>45039</v>
      </c>
      <c r="C341" s="9" t="s">
        <v>1334</v>
      </c>
      <c r="D341" s="9" t="s">
        <v>71</v>
      </c>
      <c r="E341" s="9" t="s">
        <v>1335</v>
      </c>
      <c r="F341" s="9" t="s">
        <v>665</v>
      </c>
      <c r="G341" s="54">
        <v>6806.76</v>
      </c>
      <c r="H341" s="54">
        <f>613+613</f>
        <v>1226</v>
      </c>
      <c r="I341" s="54">
        <f t="shared" si="12"/>
        <v>8032.76</v>
      </c>
      <c r="J341" s="58" t="e">
        <f>+#REF!+#REF!+#REF!+#REF!-0.76</f>
        <v>#REF!</v>
      </c>
      <c r="K341" s="8">
        <v>45071</v>
      </c>
    </row>
    <row r="342" spans="1:11" s="1" customFormat="1" ht="75" x14ac:dyDescent="0.2">
      <c r="A342" s="7">
        <v>115</v>
      </c>
      <c r="B342" s="38">
        <v>45040</v>
      </c>
      <c r="C342" s="9" t="s">
        <v>1336</v>
      </c>
      <c r="D342" s="9" t="s">
        <v>71</v>
      </c>
      <c r="E342" s="9" t="s">
        <v>1337</v>
      </c>
      <c r="F342" s="9" t="s">
        <v>43</v>
      </c>
      <c r="G342" s="54">
        <v>7677.96</v>
      </c>
      <c r="H342" s="54">
        <f>691+691</f>
        <v>1382</v>
      </c>
      <c r="I342" s="54">
        <f t="shared" si="12"/>
        <v>9059.9599999999991</v>
      </c>
      <c r="J342" s="58" t="e">
        <f>+#REF!+#REF!+#REF!+#REF!+0.04</f>
        <v>#REF!</v>
      </c>
      <c r="K342" s="8">
        <v>45076</v>
      </c>
    </row>
    <row r="343" spans="1:11" s="1" customFormat="1" ht="60" x14ac:dyDescent="0.2">
      <c r="A343" s="7">
        <v>116</v>
      </c>
      <c r="B343" s="38">
        <v>45040</v>
      </c>
      <c r="C343" s="9" t="s">
        <v>1338</v>
      </c>
      <c r="D343" s="9" t="s">
        <v>71</v>
      </c>
      <c r="E343" s="9" t="s">
        <v>1339</v>
      </c>
      <c r="F343" s="9" t="s">
        <v>39</v>
      </c>
      <c r="G343" s="54">
        <v>128730</v>
      </c>
      <c r="H343" s="54">
        <f>11586+11586</f>
        <v>23172</v>
      </c>
      <c r="I343" s="54">
        <f t="shared" si="12"/>
        <v>151902</v>
      </c>
      <c r="J343" s="58" t="e">
        <f>+#REF!+#REF!+#REF!+#REF!-1</f>
        <v>#REF!</v>
      </c>
      <c r="K343" s="8">
        <v>45076</v>
      </c>
    </row>
    <row r="344" spans="1:11" s="1" customFormat="1" ht="45" x14ac:dyDescent="0.2">
      <c r="A344" s="7">
        <v>117</v>
      </c>
      <c r="B344" s="38">
        <v>45040</v>
      </c>
      <c r="C344" s="9" t="s">
        <v>1340</v>
      </c>
      <c r="D344" s="9" t="s">
        <v>71</v>
      </c>
      <c r="E344" s="9" t="s">
        <v>1341</v>
      </c>
      <c r="F344" s="9" t="s">
        <v>447</v>
      </c>
      <c r="G344" s="54">
        <v>5002.2</v>
      </c>
      <c r="H344" s="54">
        <f>450+450</f>
        <v>900</v>
      </c>
      <c r="I344" s="54">
        <f t="shared" si="12"/>
        <v>5902.2</v>
      </c>
      <c r="J344" s="58" t="e">
        <f>+#REF!+#REF!+#REF!+#REF!+0.8</f>
        <v>#REF!</v>
      </c>
      <c r="K344" s="8">
        <v>45086</v>
      </c>
    </row>
    <row r="345" spans="1:11" s="1" customFormat="1" ht="45" x14ac:dyDescent="0.2">
      <c r="A345" s="7">
        <v>118</v>
      </c>
      <c r="B345" s="38">
        <v>45041</v>
      </c>
      <c r="C345" s="9">
        <v>8</v>
      </c>
      <c r="D345" s="9" t="s">
        <v>71</v>
      </c>
      <c r="E345" s="9" t="s">
        <v>1348</v>
      </c>
      <c r="F345" s="9" t="s">
        <v>903</v>
      </c>
      <c r="G345" s="54">
        <v>252000</v>
      </c>
      <c r="H345" s="54">
        <v>45360</v>
      </c>
      <c r="I345" s="54">
        <f t="shared" si="12"/>
        <v>297360</v>
      </c>
      <c r="J345" s="58" t="e">
        <f>+#REF!+#REF!+#REF!+#REF!</f>
        <v>#REF!</v>
      </c>
      <c r="K345" s="8">
        <v>45086</v>
      </c>
    </row>
    <row r="346" spans="1:11" s="1" customFormat="1" ht="60" x14ac:dyDescent="0.2">
      <c r="A346" s="7">
        <v>119</v>
      </c>
      <c r="B346" s="38">
        <v>45041</v>
      </c>
      <c r="C346" s="9" t="s">
        <v>1349</v>
      </c>
      <c r="D346" s="9" t="s">
        <v>71</v>
      </c>
      <c r="E346" s="9" t="s">
        <v>1350</v>
      </c>
      <c r="F346" s="9" t="s">
        <v>206</v>
      </c>
      <c r="G346" s="54">
        <v>9576</v>
      </c>
      <c r="H346" s="54">
        <f>862+862</f>
        <v>1724</v>
      </c>
      <c r="I346" s="54">
        <f t="shared" si="12"/>
        <v>11300</v>
      </c>
      <c r="J346" s="58" t="e">
        <f>+#REF!+#REF!+#REF!+#REF!</f>
        <v>#REF!</v>
      </c>
      <c r="K346" s="58"/>
    </row>
    <row r="347" spans="1:11" s="1" customFormat="1" ht="45" x14ac:dyDescent="0.2">
      <c r="A347" s="7">
        <v>120</v>
      </c>
      <c r="B347" s="38">
        <v>45041</v>
      </c>
      <c r="C347" s="9" t="s">
        <v>476</v>
      </c>
      <c r="D347" s="9" t="s">
        <v>71</v>
      </c>
      <c r="E347" s="9" t="s">
        <v>1356</v>
      </c>
      <c r="F347" s="9" t="s">
        <v>230</v>
      </c>
      <c r="G347" s="54">
        <v>10000</v>
      </c>
      <c r="H347" s="54">
        <v>0</v>
      </c>
      <c r="I347" s="54">
        <f t="shared" si="12"/>
        <v>10000</v>
      </c>
      <c r="J347" s="58" t="e">
        <f>+#REF!+#REF!+#REF!+#REF!</f>
        <v>#REF!</v>
      </c>
      <c r="K347" s="38">
        <v>45041</v>
      </c>
    </row>
    <row r="348" spans="1:11" s="1" customFormat="1" ht="45" x14ac:dyDescent="0.2">
      <c r="A348" s="7">
        <v>121</v>
      </c>
      <c r="B348" s="38">
        <v>45041</v>
      </c>
      <c r="C348" s="9" t="s">
        <v>476</v>
      </c>
      <c r="D348" s="9" t="s">
        <v>71</v>
      </c>
      <c r="E348" s="9" t="s">
        <v>1358</v>
      </c>
      <c r="F348" s="9" t="s">
        <v>1357</v>
      </c>
      <c r="G348" s="54">
        <v>2000</v>
      </c>
      <c r="H348" s="54">
        <v>0</v>
      </c>
      <c r="I348" s="54">
        <f t="shared" si="12"/>
        <v>2000</v>
      </c>
      <c r="J348" s="58" t="e">
        <f>+#REF!+#REF!+#REF!+#REF!</f>
        <v>#REF!</v>
      </c>
      <c r="K348" s="38">
        <v>45041</v>
      </c>
    </row>
    <row r="349" spans="1:11" s="1" customFormat="1" ht="45" x14ac:dyDescent="0.2">
      <c r="A349" s="7">
        <v>122</v>
      </c>
      <c r="B349" s="38">
        <v>45041</v>
      </c>
      <c r="C349" s="9" t="s">
        <v>476</v>
      </c>
      <c r="D349" s="9" t="s">
        <v>71</v>
      </c>
      <c r="E349" s="9" t="s">
        <v>1359</v>
      </c>
      <c r="F349" s="9" t="s">
        <v>1360</v>
      </c>
      <c r="G349" s="54">
        <v>2500</v>
      </c>
      <c r="H349" s="54">
        <v>0</v>
      </c>
      <c r="I349" s="54">
        <f t="shared" si="12"/>
        <v>2500</v>
      </c>
      <c r="J349" s="58" t="e">
        <f>+#REF!+#REF!+#REF!+#REF!</f>
        <v>#REF!</v>
      </c>
      <c r="K349" s="38">
        <v>45041</v>
      </c>
    </row>
    <row r="350" spans="1:11" s="1" customFormat="1" ht="45" x14ac:dyDescent="0.2">
      <c r="A350" s="7">
        <v>123</v>
      </c>
      <c r="B350" s="38">
        <v>45041</v>
      </c>
      <c r="C350" s="9" t="s">
        <v>1361</v>
      </c>
      <c r="D350" s="9" t="s">
        <v>71</v>
      </c>
      <c r="E350" s="9" t="s">
        <v>1362</v>
      </c>
      <c r="F350" s="9" t="s">
        <v>562</v>
      </c>
      <c r="G350" s="54">
        <v>2172</v>
      </c>
      <c r="H350" s="54">
        <f>195+195</f>
        <v>390</v>
      </c>
      <c r="I350" s="54">
        <f t="shared" si="12"/>
        <v>2562</v>
      </c>
      <c r="J350" s="58" t="e">
        <f>+#REF!+#REF!+#REF!+#REF!+1</f>
        <v>#REF!</v>
      </c>
      <c r="K350" s="8">
        <v>45071</v>
      </c>
    </row>
    <row r="351" spans="1:11" s="1" customFormat="1" ht="75" x14ac:dyDescent="0.2">
      <c r="A351" s="7">
        <v>124</v>
      </c>
      <c r="B351" s="38">
        <v>45041</v>
      </c>
      <c r="C351" s="9"/>
      <c r="D351" s="9" t="s">
        <v>71</v>
      </c>
      <c r="E351" s="9" t="s">
        <v>1363</v>
      </c>
      <c r="F351" s="9" t="s">
        <v>1364</v>
      </c>
      <c r="G351" s="54">
        <v>26000</v>
      </c>
      <c r="H351" s="54">
        <v>0</v>
      </c>
      <c r="I351" s="54">
        <f t="shared" si="12"/>
        <v>26000</v>
      </c>
      <c r="J351" s="58" t="e">
        <f>+#REF!+#REF!+#REF!+#REF!</f>
        <v>#REF!</v>
      </c>
      <c r="K351" s="8">
        <v>45058</v>
      </c>
    </row>
    <row r="352" spans="1:11" s="1" customFormat="1" ht="45" x14ac:dyDescent="0.2">
      <c r="A352" s="7">
        <v>125</v>
      </c>
      <c r="B352" s="38">
        <v>45042</v>
      </c>
      <c r="C352" s="9" t="s">
        <v>476</v>
      </c>
      <c r="D352" s="9" t="s">
        <v>71</v>
      </c>
      <c r="E352" s="9" t="s">
        <v>1356</v>
      </c>
      <c r="F352" s="9" t="s">
        <v>230</v>
      </c>
      <c r="G352" s="54">
        <v>10000</v>
      </c>
      <c r="H352" s="54">
        <v>0</v>
      </c>
      <c r="I352" s="54">
        <f t="shared" si="12"/>
        <v>10000</v>
      </c>
      <c r="J352" s="58" t="e">
        <f>+#REF!+#REF!+#REF!+#REF!</f>
        <v>#REF!</v>
      </c>
      <c r="K352" s="38">
        <v>45042</v>
      </c>
    </row>
    <row r="353" spans="1:11" s="1" customFormat="1" ht="45" x14ac:dyDescent="0.2">
      <c r="A353" s="7">
        <v>126</v>
      </c>
      <c r="B353" s="38">
        <v>45042</v>
      </c>
      <c r="C353" s="9" t="s">
        <v>1365</v>
      </c>
      <c r="D353" s="9" t="s">
        <v>71</v>
      </c>
      <c r="E353" s="9" t="s">
        <v>1366</v>
      </c>
      <c r="F353" s="9" t="s">
        <v>1367</v>
      </c>
      <c r="G353" s="54">
        <v>13710</v>
      </c>
      <c r="H353" s="54">
        <f>1234+1234</f>
        <v>2468</v>
      </c>
      <c r="I353" s="54">
        <f t="shared" si="12"/>
        <v>16178</v>
      </c>
      <c r="J353" s="58" t="e">
        <f>+#REF!+#REF!+#REF!+#REF!</f>
        <v>#REF!</v>
      </c>
      <c r="K353" s="8">
        <v>45071</v>
      </c>
    </row>
    <row r="354" spans="1:11" s="1" customFormat="1" ht="45" x14ac:dyDescent="0.2">
      <c r="A354" s="7">
        <v>127</v>
      </c>
      <c r="B354" s="38">
        <v>45042</v>
      </c>
      <c r="C354" s="9" t="s">
        <v>1368</v>
      </c>
      <c r="D354" s="9" t="s">
        <v>71</v>
      </c>
      <c r="E354" s="9" t="s">
        <v>1369</v>
      </c>
      <c r="F354" s="9" t="s">
        <v>206</v>
      </c>
      <c r="G354" s="54">
        <v>11664</v>
      </c>
      <c r="H354" s="54">
        <f>1050+1050</f>
        <v>2100</v>
      </c>
      <c r="I354" s="54">
        <f t="shared" ref="I354:I416" si="13">+G354+H354</f>
        <v>13764</v>
      </c>
      <c r="J354" s="58" t="e">
        <f>+#REF!+#REF!+#REF!+#REF!</f>
        <v>#REF!</v>
      </c>
      <c r="K354" s="58"/>
    </row>
    <row r="355" spans="1:11" s="1" customFormat="1" ht="45" x14ac:dyDescent="0.2">
      <c r="A355" s="7">
        <v>128</v>
      </c>
      <c r="B355" s="38">
        <v>45043</v>
      </c>
      <c r="C355" s="9" t="s">
        <v>476</v>
      </c>
      <c r="D355" s="9" t="s">
        <v>71</v>
      </c>
      <c r="E355" s="9" t="s">
        <v>1356</v>
      </c>
      <c r="F355" s="9" t="s">
        <v>230</v>
      </c>
      <c r="G355" s="54">
        <v>10000</v>
      </c>
      <c r="H355" s="54">
        <v>0</v>
      </c>
      <c r="I355" s="54">
        <f t="shared" si="13"/>
        <v>10000</v>
      </c>
      <c r="J355" s="58" t="e">
        <f>+#REF!+#REF!+#REF!+#REF!</f>
        <v>#REF!</v>
      </c>
      <c r="K355" s="38">
        <v>45043</v>
      </c>
    </row>
    <row r="356" spans="1:11" s="1" customFormat="1" ht="45" x14ac:dyDescent="0.2">
      <c r="A356" s="7">
        <v>129</v>
      </c>
      <c r="B356" s="38">
        <v>45043</v>
      </c>
      <c r="C356" s="9" t="s">
        <v>1376</v>
      </c>
      <c r="D356" s="9" t="s">
        <v>71</v>
      </c>
      <c r="E356" s="9" t="s">
        <v>1377</v>
      </c>
      <c r="F356" s="9" t="s">
        <v>665</v>
      </c>
      <c r="G356" s="54">
        <v>1152.56</v>
      </c>
      <c r="H356" s="54">
        <f>104+104</f>
        <v>208</v>
      </c>
      <c r="I356" s="54">
        <f t="shared" si="13"/>
        <v>1360.56</v>
      </c>
      <c r="J356" s="58" t="e">
        <f>+#REF!+#REF!+#REF!+#REF!-0.56</f>
        <v>#REF!</v>
      </c>
      <c r="K356" s="8">
        <v>45071</v>
      </c>
    </row>
    <row r="357" spans="1:11" s="1" customFormat="1" ht="45" x14ac:dyDescent="0.2">
      <c r="A357" s="7">
        <v>130</v>
      </c>
      <c r="B357" s="38">
        <v>45044</v>
      </c>
      <c r="C357" s="9" t="s">
        <v>476</v>
      </c>
      <c r="D357" s="9" t="s">
        <v>71</v>
      </c>
      <c r="E357" s="9" t="s">
        <v>1356</v>
      </c>
      <c r="F357" s="9" t="s">
        <v>230</v>
      </c>
      <c r="G357" s="54">
        <v>5400</v>
      </c>
      <c r="H357" s="54">
        <v>0</v>
      </c>
      <c r="I357" s="54">
        <f t="shared" si="13"/>
        <v>5400</v>
      </c>
      <c r="J357" s="58" t="e">
        <f>+#REF!+#REF!+#REF!+#REF!</f>
        <v>#REF!</v>
      </c>
      <c r="K357" s="38">
        <v>45044</v>
      </c>
    </row>
    <row r="358" spans="1:11" s="1" customFormat="1" ht="45" x14ac:dyDescent="0.2">
      <c r="A358" s="7">
        <v>131</v>
      </c>
      <c r="B358" s="38">
        <v>45044</v>
      </c>
      <c r="C358" s="9" t="s">
        <v>1380</v>
      </c>
      <c r="D358" s="9" t="s">
        <v>71</v>
      </c>
      <c r="E358" s="9" t="s">
        <v>1381</v>
      </c>
      <c r="F358" s="9" t="s">
        <v>441</v>
      </c>
      <c r="G358" s="54">
        <v>24624</v>
      </c>
      <c r="H358" s="54">
        <f>2216+2216</f>
        <v>4432</v>
      </c>
      <c r="I358" s="54">
        <f t="shared" si="13"/>
        <v>29056</v>
      </c>
      <c r="J358" s="58" t="e">
        <f>+#REF!+#REF!+#REF!+#REF!</f>
        <v>#REF!</v>
      </c>
      <c r="K358" s="8">
        <v>45076</v>
      </c>
    </row>
    <row r="359" spans="1:11" s="1" customFormat="1" ht="105" x14ac:dyDescent="0.2">
      <c r="A359" s="7">
        <v>132</v>
      </c>
      <c r="B359" s="38">
        <v>45045</v>
      </c>
      <c r="C359" s="9" t="s">
        <v>1383</v>
      </c>
      <c r="D359" s="9" t="s">
        <v>71</v>
      </c>
      <c r="E359" s="9" t="s">
        <v>1384</v>
      </c>
      <c r="F359" s="9" t="s">
        <v>211</v>
      </c>
      <c r="G359" s="54">
        <v>2492.5</v>
      </c>
      <c r="H359" s="54">
        <f>224+224</f>
        <v>448</v>
      </c>
      <c r="I359" s="54">
        <f t="shared" si="13"/>
        <v>2940.5</v>
      </c>
      <c r="J359" s="58" t="e">
        <f>+#REF!+#REF!+#REF!+#REF!+0.5</f>
        <v>#REF!</v>
      </c>
      <c r="K359" s="8">
        <v>45071</v>
      </c>
    </row>
    <row r="360" spans="1:11" s="1" customFormat="1" ht="90" x14ac:dyDescent="0.2">
      <c r="A360" s="7">
        <v>133</v>
      </c>
      <c r="B360" s="38">
        <v>45046</v>
      </c>
      <c r="C360" s="9" t="s">
        <v>1396</v>
      </c>
      <c r="D360" s="9" t="s">
        <v>71</v>
      </c>
      <c r="E360" s="9" t="s">
        <v>1398</v>
      </c>
      <c r="F360" s="9" t="s">
        <v>1397</v>
      </c>
      <c r="G360" s="54">
        <v>62221</v>
      </c>
      <c r="H360" s="54">
        <f>5600+5600</f>
        <v>11200</v>
      </c>
      <c r="I360" s="54">
        <f t="shared" si="13"/>
        <v>73421</v>
      </c>
      <c r="J360" s="58" t="e">
        <f>+#REF!+#REF!+#REF!+#REF!</f>
        <v>#REF!</v>
      </c>
      <c r="K360" s="8">
        <v>45045</v>
      </c>
    </row>
    <row r="361" spans="1:11" s="1" customFormat="1" ht="105" x14ac:dyDescent="0.2">
      <c r="A361" s="7">
        <v>134</v>
      </c>
      <c r="B361" s="38">
        <v>45047</v>
      </c>
      <c r="C361" s="9" t="s">
        <v>1427</v>
      </c>
      <c r="D361" s="9" t="s">
        <v>71</v>
      </c>
      <c r="E361" s="9" t="s">
        <v>1428</v>
      </c>
      <c r="F361" s="9" t="s">
        <v>447</v>
      </c>
      <c r="G361" s="54">
        <v>20392.2</v>
      </c>
      <c r="H361" s="54">
        <f>1835+1835</f>
        <v>3670</v>
      </c>
      <c r="I361" s="54">
        <f t="shared" si="13"/>
        <v>24062.2</v>
      </c>
      <c r="J361" s="58" t="e">
        <f>+#REF!+#REF!+#REF!+#REF!+0.8</f>
        <v>#REF!</v>
      </c>
      <c r="K361" s="8">
        <v>45136</v>
      </c>
    </row>
    <row r="362" spans="1:11" s="1" customFormat="1" ht="45" x14ac:dyDescent="0.2">
      <c r="A362" s="7">
        <v>135</v>
      </c>
      <c r="B362" s="38">
        <v>45049</v>
      </c>
      <c r="C362" s="9">
        <v>42</v>
      </c>
      <c r="D362" s="9" t="s">
        <v>71</v>
      </c>
      <c r="E362" s="9" t="s">
        <v>1433</v>
      </c>
      <c r="F362" s="9" t="s">
        <v>1434</v>
      </c>
      <c r="G362" s="54">
        <v>10000</v>
      </c>
      <c r="H362" s="54">
        <v>0</v>
      </c>
      <c r="I362" s="54">
        <f t="shared" si="13"/>
        <v>10000</v>
      </c>
      <c r="J362" s="58" t="e">
        <f>+#REF!+#REF!+#REF!+#REF!</f>
        <v>#REF!</v>
      </c>
      <c r="K362" s="8">
        <v>45049</v>
      </c>
    </row>
    <row r="363" spans="1:11" s="1" customFormat="1" ht="75" x14ac:dyDescent="0.2">
      <c r="A363" s="7">
        <v>136</v>
      </c>
      <c r="B363" s="38">
        <v>45049</v>
      </c>
      <c r="C363" s="9">
        <v>13</v>
      </c>
      <c r="D363" s="9" t="s">
        <v>71</v>
      </c>
      <c r="E363" s="9" t="s">
        <v>1441</v>
      </c>
      <c r="F363" s="9" t="s">
        <v>1323</v>
      </c>
      <c r="G363" s="54">
        <v>35300</v>
      </c>
      <c r="H363" s="54">
        <f>3177+3177</f>
        <v>6354</v>
      </c>
      <c r="I363" s="54">
        <f t="shared" si="13"/>
        <v>41654</v>
      </c>
      <c r="J363" s="58" t="e">
        <f>+#REF!+#REF!+#REF!+#REF!</f>
        <v>#REF!</v>
      </c>
      <c r="K363" s="8">
        <v>45091</v>
      </c>
    </row>
    <row r="364" spans="1:11" s="1" customFormat="1" ht="45" x14ac:dyDescent="0.2">
      <c r="A364" s="7">
        <v>137</v>
      </c>
      <c r="B364" s="38">
        <v>45050</v>
      </c>
      <c r="C364" s="9" t="s">
        <v>476</v>
      </c>
      <c r="D364" s="9" t="s">
        <v>71</v>
      </c>
      <c r="E364" s="9" t="s">
        <v>1433</v>
      </c>
      <c r="F364" s="9" t="s">
        <v>1443</v>
      </c>
      <c r="G364" s="54">
        <v>10000</v>
      </c>
      <c r="H364" s="54">
        <v>0</v>
      </c>
      <c r="I364" s="54">
        <f t="shared" si="13"/>
        <v>10000</v>
      </c>
      <c r="J364" s="58" t="e">
        <f>+#REF!+#REF!+#REF!+#REF!</f>
        <v>#REF!</v>
      </c>
      <c r="K364" s="8">
        <v>45050</v>
      </c>
    </row>
    <row r="365" spans="1:11" s="1" customFormat="1" ht="45" x14ac:dyDescent="0.2">
      <c r="A365" s="7">
        <v>138</v>
      </c>
      <c r="B365" s="38">
        <v>45050</v>
      </c>
      <c r="C365" s="9" t="s">
        <v>476</v>
      </c>
      <c r="D365" s="9" t="s">
        <v>71</v>
      </c>
      <c r="E365" s="9" t="s">
        <v>1444</v>
      </c>
      <c r="F365" s="9" t="s">
        <v>1445</v>
      </c>
      <c r="G365" s="54">
        <v>10000</v>
      </c>
      <c r="H365" s="54">
        <v>0</v>
      </c>
      <c r="I365" s="54">
        <f t="shared" si="13"/>
        <v>10000</v>
      </c>
      <c r="J365" s="58" t="e">
        <f>+#REF!+#REF!+#REF!+#REF!</f>
        <v>#REF!</v>
      </c>
      <c r="K365" s="58"/>
    </row>
    <row r="366" spans="1:11" s="1" customFormat="1" ht="45" x14ac:dyDescent="0.2">
      <c r="A366" s="7">
        <v>139</v>
      </c>
      <c r="B366" s="38">
        <v>45050</v>
      </c>
      <c r="C366" s="9" t="s">
        <v>476</v>
      </c>
      <c r="D366" s="9" t="s">
        <v>71</v>
      </c>
      <c r="E366" s="9" t="s">
        <v>1446</v>
      </c>
      <c r="F366" s="9" t="s">
        <v>1447</v>
      </c>
      <c r="G366" s="54">
        <v>10000</v>
      </c>
      <c r="H366" s="54">
        <v>0</v>
      </c>
      <c r="I366" s="54">
        <f t="shared" si="13"/>
        <v>10000</v>
      </c>
      <c r="J366" s="58" t="e">
        <f>+#REF!+#REF!+#REF!+#REF!</f>
        <v>#REF!</v>
      </c>
      <c r="K366" s="38">
        <v>45050</v>
      </c>
    </row>
    <row r="367" spans="1:11" s="1" customFormat="1" ht="75" x14ac:dyDescent="0.2">
      <c r="A367" s="7">
        <v>140</v>
      </c>
      <c r="B367" s="38">
        <v>45050</v>
      </c>
      <c r="C367" s="9">
        <v>15</v>
      </c>
      <c r="D367" s="9" t="s">
        <v>71</v>
      </c>
      <c r="E367" s="9" t="s">
        <v>1448</v>
      </c>
      <c r="F367" s="9" t="s">
        <v>1323</v>
      </c>
      <c r="G367" s="54">
        <v>264820</v>
      </c>
      <c r="H367" s="54">
        <f>23834+23834</f>
        <v>47668</v>
      </c>
      <c r="I367" s="54">
        <f t="shared" si="13"/>
        <v>312488</v>
      </c>
      <c r="J367" s="58" t="e">
        <f>+#REF!+#REF!+#REF!+#REF!</f>
        <v>#REF!</v>
      </c>
      <c r="K367" s="8">
        <v>45162</v>
      </c>
    </row>
    <row r="368" spans="1:11" s="1" customFormat="1" ht="45" x14ac:dyDescent="0.2">
      <c r="A368" s="7">
        <v>141</v>
      </c>
      <c r="B368" s="38">
        <v>45051</v>
      </c>
      <c r="C368" s="9" t="s">
        <v>476</v>
      </c>
      <c r="D368" s="9" t="s">
        <v>71</v>
      </c>
      <c r="E368" s="9" t="s">
        <v>1433</v>
      </c>
      <c r="F368" s="9" t="s">
        <v>1434</v>
      </c>
      <c r="G368" s="54">
        <v>8900</v>
      </c>
      <c r="H368" s="54">
        <v>0</v>
      </c>
      <c r="I368" s="54">
        <f t="shared" si="13"/>
        <v>8900</v>
      </c>
      <c r="J368" s="58" t="e">
        <f>+#REF!+#REF!+#REF!+#REF!</f>
        <v>#REF!</v>
      </c>
      <c r="K368" s="8">
        <v>45051</v>
      </c>
    </row>
    <row r="369" spans="1:11" s="1" customFormat="1" ht="45" x14ac:dyDescent="0.2">
      <c r="A369" s="7">
        <v>142</v>
      </c>
      <c r="B369" s="38">
        <v>45051</v>
      </c>
      <c r="C369" s="9" t="s">
        <v>476</v>
      </c>
      <c r="D369" s="9" t="s">
        <v>71</v>
      </c>
      <c r="E369" s="9" t="s">
        <v>1444</v>
      </c>
      <c r="F369" s="9" t="s">
        <v>1123</v>
      </c>
      <c r="G369" s="54">
        <v>5000</v>
      </c>
      <c r="H369" s="54">
        <v>0</v>
      </c>
      <c r="I369" s="54">
        <f t="shared" si="13"/>
        <v>5000</v>
      </c>
      <c r="J369" s="58" t="e">
        <f>+#REF!+#REF!+#REF!+#REF!</f>
        <v>#REF!</v>
      </c>
      <c r="K369" s="58"/>
    </row>
    <row r="370" spans="1:11" s="1" customFormat="1" ht="45" x14ac:dyDescent="0.2">
      <c r="A370" s="7">
        <v>143</v>
      </c>
      <c r="B370" s="38">
        <v>45051</v>
      </c>
      <c r="C370" s="9" t="s">
        <v>476</v>
      </c>
      <c r="D370" s="9" t="s">
        <v>71</v>
      </c>
      <c r="E370" s="9" t="s">
        <v>1358</v>
      </c>
      <c r="F370" s="9" t="s">
        <v>1210</v>
      </c>
      <c r="G370" s="54">
        <v>2000</v>
      </c>
      <c r="H370" s="54">
        <v>0</v>
      </c>
      <c r="I370" s="54">
        <f t="shared" si="13"/>
        <v>2000</v>
      </c>
      <c r="J370" s="58" t="e">
        <f>+#REF!+#REF!+#REF!+#REF!</f>
        <v>#REF!</v>
      </c>
      <c r="K370" s="38">
        <v>45051</v>
      </c>
    </row>
    <row r="371" spans="1:11" s="1" customFormat="1" ht="75" x14ac:dyDescent="0.2">
      <c r="A371" s="7">
        <v>144</v>
      </c>
      <c r="B371" s="38">
        <v>45051</v>
      </c>
      <c r="C371" s="9" t="s">
        <v>1490</v>
      </c>
      <c r="D371" s="9" t="s">
        <v>71</v>
      </c>
      <c r="E371" s="9" t="s">
        <v>1491</v>
      </c>
      <c r="F371" s="9" t="s">
        <v>447</v>
      </c>
      <c r="G371" s="54">
        <v>3447.84</v>
      </c>
      <c r="H371" s="54">
        <f>310+310</f>
        <v>620</v>
      </c>
      <c r="I371" s="54">
        <f t="shared" si="13"/>
        <v>4067.84</v>
      </c>
      <c r="J371" s="58" t="e">
        <f>+#REF!+#REF!+#REF!+#REF!+0.16</f>
        <v>#REF!</v>
      </c>
      <c r="K371" s="8">
        <v>45136</v>
      </c>
    </row>
    <row r="372" spans="1:11" s="1" customFormat="1" ht="75" x14ac:dyDescent="0.2">
      <c r="A372" s="7">
        <v>145</v>
      </c>
      <c r="B372" s="38">
        <v>45055</v>
      </c>
      <c r="C372" s="9">
        <v>17</v>
      </c>
      <c r="D372" s="9" t="s">
        <v>71</v>
      </c>
      <c r="E372" s="9" t="s">
        <v>1455</v>
      </c>
      <c r="F372" s="9" t="s">
        <v>1323</v>
      </c>
      <c r="G372" s="54">
        <v>69900</v>
      </c>
      <c r="H372" s="54">
        <f>6291+6291</f>
        <v>12582</v>
      </c>
      <c r="I372" s="54">
        <f t="shared" si="13"/>
        <v>82482</v>
      </c>
      <c r="J372" s="58" t="e">
        <f>+#REF!+#REF!+#REF!+#REF!</f>
        <v>#REF!</v>
      </c>
      <c r="K372" s="8">
        <v>45162</v>
      </c>
    </row>
    <row r="373" spans="1:11" s="1" customFormat="1" ht="60" x14ac:dyDescent="0.2">
      <c r="A373" s="7">
        <v>146</v>
      </c>
      <c r="B373" s="38">
        <v>45059</v>
      </c>
      <c r="C373" s="9">
        <v>21</v>
      </c>
      <c r="D373" s="9" t="s">
        <v>71</v>
      </c>
      <c r="E373" s="9" t="s">
        <v>1492</v>
      </c>
      <c r="F373" s="9" t="s">
        <v>1323</v>
      </c>
      <c r="G373" s="54">
        <v>14250</v>
      </c>
      <c r="H373" s="54">
        <f>1283+1283</f>
        <v>2566</v>
      </c>
      <c r="I373" s="54">
        <f t="shared" si="13"/>
        <v>16816</v>
      </c>
      <c r="J373" s="58" t="e">
        <f>+#REF!+#REF!+#REF!+#REF!</f>
        <v>#REF!</v>
      </c>
      <c r="K373" s="8">
        <v>45162</v>
      </c>
    </row>
    <row r="374" spans="1:11" s="1" customFormat="1" ht="45" x14ac:dyDescent="0.2">
      <c r="A374" s="7">
        <v>147</v>
      </c>
      <c r="B374" s="38">
        <v>45054</v>
      </c>
      <c r="C374" s="9" t="s">
        <v>476</v>
      </c>
      <c r="D374" s="9" t="s">
        <v>71</v>
      </c>
      <c r="E374" s="9" t="s">
        <v>1516</v>
      </c>
      <c r="F374" s="9" t="s">
        <v>1517</v>
      </c>
      <c r="G374" s="54">
        <v>350</v>
      </c>
      <c r="H374" s="54">
        <v>0</v>
      </c>
      <c r="I374" s="54">
        <f t="shared" si="13"/>
        <v>350</v>
      </c>
      <c r="J374" s="58" t="e">
        <f>+#REF!+#REF!+#REF!+#REF!</f>
        <v>#REF!</v>
      </c>
      <c r="K374" s="8">
        <v>45054</v>
      </c>
    </row>
    <row r="375" spans="1:11" s="1" customFormat="1" ht="60" x14ac:dyDescent="0.2">
      <c r="A375" s="7">
        <v>148</v>
      </c>
      <c r="B375" s="38">
        <v>45055</v>
      </c>
      <c r="C375" s="9" t="s">
        <v>476</v>
      </c>
      <c r="D375" s="9" t="s">
        <v>71</v>
      </c>
      <c r="E375" s="9" t="s">
        <v>1518</v>
      </c>
      <c r="F375" s="9" t="s">
        <v>1519</v>
      </c>
      <c r="G375" s="54">
        <v>5500</v>
      </c>
      <c r="H375" s="54">
        <v>0</v>
      </c>
      <c r="I375" s="54">
        <f t="shared" si="13"/>
        <v>5500</v>
      </c>
      <c r="J375" s="58" t="e">
        <f>+#REF!+#REF!+#REF!+#REF!</f>
        <v>#REF!</v>
      </c>
      <c r="K375" s="38">
        <v>45055</v>
      </c>
    </row>
    <row r="376" spans="1:11" s="1" customFormat="1" ht="60" x14ac:dyDescent="0.2">
      <c r="A376" s="7">
        <v>149</v>
      </c>
      <c r="B376" s="38">
        <v>45055</v>
      </c>
      <c r="C376" s="9" t="s">
        <v>476</v>
      </c>
      <c r="D376" s="9" t="s">
        <v>71</v>
      </c>
      <c r="E376" s="9" t="s">
        <v>1518</v>
      </c>
      <c r="F376" s="9" t="s">
        <v>1519</v>
      </c>
      <c r="G376" s="54">
        <v>4500</v>
      </c>
      <c r="H376" s="54">
        <v>0</v>
      </c>
      <c r="I376" s="54">
        <f t="shared" si="13"/>
        <v>4500</v>
      </c>
      <c r="J376" s="58" t="e">
        <f>+#REF!+#REF!+#REF!+#REF!</f>
        <v>#REF!</v>
      </c>
      <c r="K376" s="38">
        <v>45055</v>
      </c>
    </row>
    <row r="377" spans="1:11" s="1" customFormat="1" ht="45" x14ac:dyDescent="0.2">
      <c r="A377" s="7">
        <v>150</v>
      </c>
      <c r="B377" s="38">
        <v>45055</v>
      </c>
      <c r="C377" s="9" t="s">
        <v>476</v>
      </c>
      <c r="D377" s="9" t="s">
        <v>71</v>
      </c>
      <c r="E377" s="9" t="s">
        <v>1520</v>
      </c>
      <c r="F377" s="9" t="s">
        <v>1521</v>
      </c>
      <c r="G377" s="54">
        <v>6000</v>
      </c>
      <c r="H377" s="54">
        <v>0</v>
      </c>
      <c r="I377" s="54">
        <f t="shared" si="13"/>
        <v>6000</v>
      </c>
      <c r="J377" s="58" t="e">
        <f>+#REF!+#REF!+#REF!+#REF!</f>
        <v>#REF!</v>
      </c>
      <c r="K377" s="8">
        <v>45055</v>
      </c>
    </row>
    <row r="378" spans="1:11" s="1" customFormat="1" ht="45" x14ac:dyDescent="0.2">
      <c r="A378" s="7">
        <v>151</v>
      </c>
      <c r="B378" s="38">
        <v>45057</v>
      </c>
      <c r="C378" s="9" t="s">
        <v>476</v>
      </c>
      <c r="D378" s="9" t="s">
        <v>71</v>
      </c>
      <c r="E378" s="9" t="s">
        <v>1524</v>
      </c>
      <c r="F378" s="9" t="s">
        <v>1123</v>
      </c>
      <c r="G378" s="54">
        <v>9000</v>
      </c>
      <c r="H378" s="54">
        <v>0</v>
      </c>
      <c r="I378" s="54">
        <f t="shared" si="13"/>
        <v>9000</v>
      </c>
      <c r="J378" s="58" t="e">
        <f>+#REF!+#REF!+#REF!+#REF!</f>
        <v>#REF!</v>
      </c>
      <c r="K378" s="58"/>
    </row>
    <row r="379" spans="1:11" s="1" customFormat="1" ht="45" x14ac:dyDescent="0.2">
      <c r="A379" s="7">
        <v>152</v>
      </c>
      <c r="B379" s="38">
        <v>45059</v>
      </c>
      <c r="C379" s="9" t="s">
        <v>476</v>
      </c>
      <c r="D379" s="9" t="s">
        <v>71</v>
      </c>
      <c r="E379" s="9" t="s">
        <v>1535</v>
      </c>
      <c r="F379" s="9" t="s">
        <v>1123</v>
      </c>
      <c r="G379" s="54">
        <v>4000</v>
      </c>
      <c r="H379" s="54">
        <v>0</v>
      </c>
      <c r="I379" s="54">
        <f t="shared" si="13"/>
        <v>4000</v>
      </c>
      <c r="J379" s="58" t="e">
        <f>+#REF!+#REF!+#REF!+#REF!</f>
        <v>#REF!</v>
      </c>
      <c r="K379" s="58"/>
    </row>
    <row r="380" spans="1:11" s="1" customFormat="1" ht="45" x14ac:dyDescent="0.2">
      <c r="A380" s="7">
        <v>153</v>
      </c>
      <c r="B380" s="38">
        <v>45061</v>
      </c>
      <c r="C380" s="9" t="s">
        <v>1542</v>
      </c>
      <c r="D380" s="9" t="s">
        <v>71</v>
      </c>
      <c r="E380" s="9" t="s">
        <v>1543</v>
      </c>
      <c r="F380" s="9" t="s">
        <v>206</v>
      </c>
      <c r="G380" s="54">
        <v>15253</v>
      </c>
      <c r="H380" s="54">
        <f>1373+1373</f>
        <v>2746</v>
      </c>
      <c r="I380" s="54">
        <f t="shared" si="13"/>
        <v>17999</v>
      </c>
      <c r="J380" s="58" t="e">
        <f>+#REF!+#REF!+#REF!+#REF!</f>
        <v>#REF!</v>
      </c>
      <c r="K380" s="58"/>
    </row>
    <row r="381" spans="1:11" s="1" customFormat="1" ht="75" x14ac:dyDescent="0.2">
      <c r="A381" s="7">
        <v>154</v>
      </c>
      <c r="B381" s="38">
        <v>45061</v>
      </c>
      <c r="C381" s="9" t="s">
        <v>1544</v>
      </c>
      <c r="D381" s="9" t="s">
        <v>71</v>
      </c>
      <c r="E381" s="9" t="s">
        <v>1545</v>
      </c>
      <c r="F381" s="9" t="s">
        <v>206</v>
      </c>
      <c r="G381" s="54">
        <v>3300</v>
      </c>
      <c r="H381" s="54">
        <f>297+297</f>
        <v>594</v>
      </c>
      <c r="I381" s="54">
        <f t="shared" si="13"/>
        <v>3894</v>
      </c>
      <c r="J381" s="58" t="e">
        <f>+#REF!+#REF!+#REF!+#REF!</f>
        <v>#REF!</v>
      </c>
      <c r="K381" s="58"/>
    </row>
    <row r="382" spans="1:11" s="1" customFormat="1" ht="45" x14ac:dyDescent="0.2">
      <c r="A382" s="7">
        <v>155</v>
      </c>
      <c r="B382" s="38">
        <v>45061</v>
      </c>
      <c r="C382" s="9" t="s">
        <v>1546</v>
      </c>
      <c r="D382" s="9" t="s">
        <v>71</v>
      </c>
      <c r="E382" s="9" t="s">
        <v>1547</v>
      </c>
      <c r="F382" s="9" t="s">
        <v>441</v>
      </c>
      <c r="G382" s="54">
        <v>18800</v>
      </c>
      <c r="H382" s="54">
        <f>1692+1692</f>
        <v>3384</v>
      </c>
      <c r="I382" s="54">
        <f t="shared" si="13"/>
        <v>22184</v>
      </c>
      <c r="J382" s="58" t="e">
        <f>+#REF!+#REF!+#REF!+#REF!</f>
        <v>#REF!</v>
      </c>
      <c r="K382" s="8">
        <v>45140</v>
      </c>
    </row>
    <row r="383" spans="1:11" s="1" customFormat="1" ht="45" x14ac:dyDescent="0.2">
      <c r="A383" s="7">
        <v>156</v>
      </c>
      <c r="B383" s="38">
        <v>45062</v>
      </c>
      <c r="C383" s="9" t="s">
        <v>1548</v>
      </c>
      <c r="D383" s="9" t="s">
        <v>71</v>
      </c>
      <c r="E383" s="9" t="s">
        <v>1549</v>
      </c>
      <c r="F383" s="9" t="s">
        <v>441</v>
      </c>
      <c r="G383" s="54">
        <v>3150</v>
      </c>
      <c r="H383" s="54">
        <f>284+284</f>
        <v>568</v>
      </c>
      <c r="I383" s="54">
        <f t="shared" si="13"/>
        <v>3718</v>
      </c>
      <c r="J383" s="58" t="e">
        <f>+#REF!+#REF!+#REF!+#REF!-1</f>
        <v>#REF!</v>
      </c>
      <c r="K383" s="8">
        <v>45140</v>
      </c>
    </row>
    <row r="384" spans="1:11" s="1" customFormat="1" ht="60" x14ac:dyDescent="0.2">
      <c r="A384" s="7">
        <v>157</v>
      </c>
      <c r="B384" s="38">
        <v>45062</v>
      </c>
      <c r="C384" s="9" t="s">
        <v>1551</v>
      </c>
      <c r="D384" s="9" t="s">
        <v>71</v>
      </c>
      <c r="E384" s="9" t="s">
        <v>1552</v>
      </c>
      <c r="F384" s="9" t="s">
        <v>447</v>
      </c>
      <c r="G384" s="54">
        <v>1512</v>
      </c>
      <c r="H384" s="54">
        <f>136+136</f>
        <v>272</v>
      </c>
      <c r="I384" s="54">
        <f t="shared" si="13"/>
        <v>1784</v>
      </c>
      <c r="J384" s="58" t="e">
        <f>+#REF!+#REF!+#REF!+#REF!</f>
        <v>#REF!</v>
      </c>
      <c r="K384" s="8">
        <v>45136</v>
      </c>
    </row>
    <row r="385" spans="1:11" s="1" customFormat="1" ht="75" x14ac:dyDescent="0.2">
      <c r="A385" s="7">
        <v>158</v>
      </c>
      <c r="B385" s="38">
        <v>45063</v>
      </c>
      <c r="C385" s="9" t="s">
        <v>1553</v>
      </c>
      <c r="D385" s="9" t="s">
        <v>71</v>
      </c>
      <c r="E385" s="9" t="s">
        <v>1554</v>
      </c>
      <c r="F385" s="9" t="s">
        <v>1555</v>
      </c>
      <c r="G385" s="54">
        <v>40550</v>
      </c>
      <c r="H385" s="54">
        <v>0</v>
      </c>
      <c r="I385" s="54">
        <f t="shared" si="13"/>
        <v>40550</v>
      </c>
      <c r="J385" s="58" t="e">
        <f>+#REF!+#REF!+#REF!+#REF!</f>
        <v>#REF!</v>
      </c>
      <c r="K385" s="8">
        <v>45076</v>
      </c>
    </row>
    <row r="386" spans="1:11" s="1" customFormat="1" ht="45" x14ac:dyDescent="0.2">
      <c r="A386" s="7">
        <v>159</v>
      </c>
      <c r="B386" s="38">
        <v>45063</v>
      </c>
      <c r="C386" s="9" t="s">
        <v>1557</v>
      </c>
      <c r="D386" s="9" t="s">
        <v>71</v>
      </c>
      <c r="E386" s="9" t="s">
        <v>1558</v>
      </c>
      <c r="F386" s="9" t="s">
        <v>441</v>
      </c>
      <c r="G386" s="54">
        <v>4200</v>
      </c>
      <c r="H386" s="54">
        <f>378+378</f>
        <v>756</v>
      </c>
      <c r="I386" s="54">
        <f t="shared" si="13"/>
        <v>4956</v>
      </c>
      <c r="J386" s="58" t="e">
        <f>+#REF!+#REF!+#REF!+#REF!</f>
        <v>#REF!</v>
      </c>
      <c r="K386" s="8">
        <v>45140</v>
      </c>
    </row>
    <row r="387" spans="1:11" s="1" customFormat="1" ht="45" x14ac:dyDescent="0.2">
      <c r="A387" s="7">
        <v>160</v>
      </c>
      <c r="B387" s="38">
        <v>45063</v>
      </c>
      <c r="C387" s="9" t="s">
        <v>476</v>
      </c>
      <c r="D387" s="9" t="s">
        <v>71</v>
      </c>
      <c r="E387" s="9" t="s">
        <v>1559</v>
      </c>
      <c r="F387" s="9" t="s">
        <v>762</v>
      </c>
      <c r="G387" s="54">
        <v>5000</v>
      </c>
      <c r="H387" s="54">
        <v>0</v>
      </c>
      <c r="I387" s="54">
        <f t="shared" si="13"/>
        <v>5000</v>
      </c>
      <c r="J387" s="58" t="e">
        <f>+#REF!+#REF!+#REF!+#REF!</f>
        <v>#REF!</v>
      </c>
      <c r="K387" s="8">
        <v>45063</v>
      </c>
    </row>
    <row r="388" spans="1:11" s="1" customFormat="1" ht="60" x14ac:dyDescent="0.2">
      <c r="A388" s="7">
        <v>161</v>
      </c>
      <c r="B388" s="38">
        <v>45063</v>
      </c>
      <c r="C388" s="9" t="s">
        <v>476</v>
      </c>
      <c r="D388" s="9" t="s">
        <v>71</v>
      </c>
      <c r="E388" s="9" t="s">
        <v>1560</v>
      </c>
      <c r="F388" s="9" t="s">
        <v>1561</v>
      </c>
      <c r="G388" s="54">
        <v>3000</v>
      </c>
      <c r="H388" s="54">
        <v>0</v>
      </c>
      <c r="I388" s="54">
        <f t="shared" si="13"/>
        <v>3000</v>
      </c>
      <c r="J388" s="58" t="e">
        <f>+#REF!+#REF!+#REF!+#REF!</f>
        <v>#REF!</v>
      </c>
      <c r="K388" s="8">
        <v>45063</v>
      </c>
    </row>
    <row r="389" spans="1:11" s="1" customFormat="1" ht="45" x14ac:dyDescent="0.2">
      <c r="A389" s="7">
        <v>162</v>
      </c>
      <c r="B389" s="38">
        <v>45063</v>
      </c>
      <c r="C389" s="9" t="s">
        <v>476</v>
      </c>
      <c r="D389" s="9" t="s">
        <v>71</v>
      </c>
      <c r="E389" s="9" t="s">
        <v>1562</v>
      </c>
      <c r="F389" s="9" t="s">
        <v>762</v>
      </c>
      <c r="G389" s="54">
        <v>2000</v>
      </c>
      <c r="H389" s="54">
        <v>0</v>
      </c>
      <c r="I389" s="54">
        <f t="shared" si="13"/>
        <v>2000</v>
      </c>
      <c r="J389" s="58" t="e">
        <f>+#REF!+#REF!+#REF!+#REF!</f>
        <v>#REF!</v>
      </c>
      <c r="K389" s="8">
        <v>45063</v>
      </c>
    </row>
    <row r="390" spans="1:11" s="1" customFormat="1" ht="45" x14ac:dyDescent="0.2">
      <c r="A390" s="7">
        <v>163</v>
      </c>
      <c r="B390" s="38">
        <v>45065</v>
      </c>
      <c r="C390" s="9" t="s">
        <v>1533</v>
      </c>
      <c r="D390" s="9" t="s">
        <v>71</v>
      </c>
      <c r="E390" s="9" t="s">
        <v>1534</v>
      </c>
      <c r="F390" s="9" t="s">
        <v>426</v>
      </c>
      <c r="G390" s="54">
        <v>174290</v>
      </c>
      <c r="H390" s="54">
        <f>15686+15686</f>
        <v>31372</v>
      </c>
      <c r="I390" s="54">
        <f t="shared" si="13"/>
        <v>205662</v>
      </c>
      <c r="J390" s="58" t="e">
        <f>+#REF!+#REF!+#REF!+#REF!</f>
        <v>#REF!</v>
      </c>
      <c r="K390" s="8">
        <v>45090</v>
      </c>
    </row>
    <row r="391" spans="1:11" s="1" customFormat="1" ht="75" x14ac:dyDescent="0.2">
      <c r="A391" s="7">
        <v>164</v>
      </c>
      <c r="B391" s="38">
        <v>45065</v>
      </c>
      <c r="C391" s="9" t="s">
        <v>1563</v>
      </c>
      <c r="D391" s="9" t="s">
        <v>71</v>
      </c>
      <c r="E391" s="9" t="s">
        <v>1564</v>
      </c>
      <c r="F391" s="9" t="s">
        <v>206</v>
      </c>
      <c r="G391" s="54">
        <v>10865</v>
      </c>
      <c r="H391" s="54">
        <f>978+978</f>
        <v>1956</v>
      </c>
      <c r="I391" s="54">
        <f t="shared" si="13"/>
        <v>12821</v>
      </c>
      <c r="J391" s="58" t="e">
        <f>+#REF!+#REF!+#REF!+#REF!</f>
        <v>#REF!</v>
      </c>
      <c r="K391" s="58"/>
    </row>
    <row r="392" spans="1:11" s="1" customFormat="1" ht="60" x14ac:dyDescent="0.2">
      <c r="A392" s="7">
        <v>165</v>
      </c>
      <c r="B392" s="38">
        <v>45065</v>
      </c>
      <c r="C392" s="9" t="s">
        <v>1565</v>
      </c>
      <c r="D392" s="9" t="s">
        <v>71</v>
      </c>
      <c r="E392" s="9" t="s">
        <v>1566</v>
      </c>
      <c r="F392" s="9" t="s">
        <v>441</v>
      </c>
      <c r="G392" s="54">
        <v>2910</v>
      </c>
      <c r="H392" s="54">
        <f>262+262</f>
        <v>524</v>
      </c>
      <c r="I392" s="54">
        <f t="shared" si="13"/>
        <v>3434</v>
      </c>
      <c r="J392" s="58" t="e">
        <f>+#REF!+#REF!+#REF!+#REF!</f>
        <v>#REF!</v>
      </c>
      <c r="K392" s="8">
        <v>45140</v>
      </c>
    </row>
    <row r="393" spans="1:11" s="1" customFormat="1" ht="45" x14ac:dyDescent="0.2">
      <c r="A393" s="7">
        <v>166</v>
      </c>
      <c r="B393" s="38">
        <v>45065</v>
      </c>
      <c r="C393" s="9" t="s">
        <v>1567</v>
      </c>
      <c r="D393" s="9" t="s">
        <v>71</v>
      </c>
      <c r="E393" s="9" t="s">
        <v>1568</v>
      </c>
      <c r="F393" s="9" t="s">
        <v>441</v>
      </c>
      <c r="G393" s="54">
        <v>22036.5</v>
      </c>
      <c r="H393" s="54">
        <f>1983+1983</f>
        <v>3966</v>
      </c>
      <c r="I393" s="54">
        <f t="shared" si="13"/>
        <v>26002.5</v>
      </c>
      <c r="J393" s="58" t="e">
        <f>+#REF!+#REF!+#REF!+#REF!+0.5</f>
        <v>#REF!</v>
      </c>
      <c r="K393" s="8">
        <v>45140</v>
      </c>
    </row>
    <row r="394" spans="1:11" s="1" customFormat="1" ht="45" x14ac:dyDescent="0.2">
      <c r="A394" s="7">
        <v>167</v>
      </c>
      <c r="B394" s="38">
        <v>45065</v>
      </c>
      <c r="C394" s="9" t="s">
        <v>476</v>
      </c>
      <c r="D394" s="9" t="s">
        <v>71</v>
      </c>
      <c r="E394" s="9" t="s">
        <v>1569</v>
      </c>
      <c r="F394" s="9" t="s">
        <v>762</v>
      </c>
      <c r="G394" s="54">
        <v>1500</v>
      </c>
      <c r="H394" s="54">
        <v>0</v>
      </c>
      <c r="I394" s="54">
        <f t="shared" si="13"/>
        <v>1500</v>
      </c>
      <c r="J394" s="58" t="e">
        <f>+#REF!+#REF!+#REF!+#REF!</f>
        <v>#REF!</v>
      </c>
      <c r="K394" s="8">
        <v>45065</v>
      </c>
    </row>
    <row r="395" spans="1:11" s="1" customFormat="1" ht="45" x14ac:dyDescent="0.2">
      <c r="A395" s="7">
        <v>168</v>
      </c>
      <c r="B395" s="38">
        <v>45067</v>
      </c>
      <c r="C395" s="9" t="s">
        <v>1596</v>
      </c>
      <c r="D395" s="9" t="s">
        <v>71</v>
      </c>
      <c r="E395" s="9" t="s">
        <v>1597</v>
      </c>
      <c r="F395" s="9" t="s">
        <v>665</v>
      </c>
      <c r="G395" s="54">
        <v>711.87</v>
      </c>
      <c r="H395" s="54">
        <f>64+64</f>
        <v>128</v>
      </c>
      <c r="I395" s="54">
        <f t="shared" si="13"/>
        <v>839.87</v>
      </c>
      <c r="J395" s="58" t="e">
        <f>+#REF!+#REF!+#REF!+#REF!+0.13</f>
        <v>#REF!</v>
      </c>
      <c r="K395" s="8">
        <v>45136</v>
      </c>
    </row>
    <row r="396" spans="1:11" s="1" customFormat="1" ht="45" x14ac:dyDescent="0.2">
      <c r="A396" s="7">
        <v>169</v>
      </c>
      <c r="B396" s="38">
        <v>45068</v>
      </c>
      <c r="C396" s="9">
        <v>963</v>
      </c>
      <c r="D396" s="9" t="s">
        <v>71</v>
      </c>
      <c r="E396" s="9" t="s">
        <v>1576</v>
      </c>
      <c r="F396" s="9" t="s">
        <v>208</v>
      </c>
      <c r="G396" s="54">
        <v>2028.6</v>
      </c>
      <c r="H396" s="54">
        <f>183+183</f>
        <v>366</v>
      </c>
      <c r="I396" s="54">
        <f t="shared" si="13"/>
        <v>2394.6</v>
      </c>
      <c r="J396" s="58" t="e">
        <f>+#REF!+#REF!+#REF!+#REF!-0.6</f>
        <v>#REF!</v>
      </c>
      <c r="K396" s="8">
        <v>45160</v>
      </c>
    </row>
    <row r="397" spans="1:11" s="1" customFormat="1" ht="75" x14ac:dyDescent="0.2">
      <c r="A397" s="7">
        <v>170</v>
      </c>
      <c r="B397" s="38">
        <v>45069</v>
      </c>
      <c r="C397" s="9" t="s">
        <v>476</v>
      </c>
      <c r="D397" s="9" t="s">
        <v>71</v>
      </c>
      <c r="E397" s="9" t="s">
        <v>1577</v>
      </c>
      <c r="F397" s="9" t="s">
        <v>762</v>
      </c>
      <c r="G397" s="54">
        <v>5000</v>
      </c>
      <c r="H397" s="54">
        <v>0</v>
      </c>
      <c r="I397" s="54">
        <f t="shared" si="13"/>
        <v>5000</v>
      </c>
      <c r="J397" s="58" t="e">
        <f>+#REF!+#REF!+#REF!+#REF!</f>
        <v>#REF!</v>
      </c>
      <c r="K397" s="8">
        <v>45069</v>
      </c>
    </row>
    <row r="398" spans="1:11" s="1" customFormat="1" ht="90" x14ac:dyDescent="0.2">
      <c r="A398" s="7">
        <v>171</v>
      </c>
      <c r="B398" s="38">
        <v>45069</v>
      </c>
      <c r="C398" s="9" t="s">
        <v>1578</v>
      </c>
      <c r="D398" s="9" t="s">
        <v>71</v>
      </c>
      <c r="E398" s="9" t="s">
        <v>1579</v>
      </c>
      <c r="F398" s="9" t="s">
        <v>206</v>
      </c>
      <c r="G398" s="54">
        <v>11925</v>
      </c>
      <c r="H398" s="54">
        <f>1073+1073</f>
        <v>2146</v>
      </c>
      <c r="I398" s="54">
        <f t="shared" si="13"/>
        <v>14071</v>
      </c>
      <c r="J398" s="58" t="e">
        <f>+#REF!+#REF!+#REF!+#REF!+1</f>
        <v>#REF!</v>
      </c>
      <c r="K398" s="58"/>
    </row>
    <row r="399" spans="1:11" s="1" customFormat="1" ht="45" x14ac:dyDescent="0.2">
      <c r="A399" s="7">
        <v>172</v>
      </c>
      <c r="B399" s="38">
        <v>45069</v>
      </c>
      <c r="C399" s="9">
        <v>131</v>
      </c>
      <c r="D399" s="9" t="s">
        <v>71</v>
      </c>
      <c r="E399" s="9" t="s">
        <v>1580</v>
      </c>
      <c r="F399" s="9" t="s">
        <v>736</v>
      </c>
      <c r="G399" s="54">
        <v>34704.6</v>
      </c>
      <c r="H399" s="54">
        <f>3123+3123</f>
        <v>6246</v>
      </c>
      <c r="I399" s="54">
        <f t="shared" si="13"/>
        <v>40950.6</v>
      </c>
      <c r="J399" s="58" t="e">
        <f>+#REF!+#REF!+#REF!+#REF!+0.4</f>
        <v>#REF!</v>
      </c>
      <c r="K399" s="8">
        <v>45078</v>
      </c>
    </row>
    <row r="400" spans="1:11" s="1" customFormat="1" ht="90" x14ac:dyDescent="0.2">
      <c r="A400" s="7">
        <v>174</v>
      </c>
      <c r="B400" s="38">
        <v>45072</v>
      </c>
      <c r="C400" s="9" t="s">
        <v>1598</v>
      </c>
      <c r="D400" s="9" t="s">
        <v>71</v>
      </c>
      <c r="E400" s="9" t="s">
        <v>1599</v>
      </c>
      <c r="F400" s="9" t="s">
        <v>441</v>
      </c>
      <c r="G400" s="54">
        <v>20740</v>
      </c>
      <c r="H400" s="54">
        <f>1867+1867</f>
        <v>3734</v>
      </c>
      <c r="I400" s="54">
        <f t="shared" si="13"/>
        <v>24474</v>
      </c>
      <c r="J400" s="58" t="e">
        <f>+#REF!+#REF!+#REF!+#REF!-1</f>
        <v>#REF!</v>
      </c>
      <c r="K400" s="8">
        <v>45140</v>
      </c>
    </row>
    <row r="401" spans="1:11" s="1" customFormat="1" ht="45" x14ac:dyDescent="0.2">
      <c r="A401" s="7">
        <v>175</v>
      </c>
      <c r="B401" s="38">
        <v>45073</v>
      </c>
      <c r="C401" s="9" t="s">
        <v>1600</v>
      </c>
      <c r="D401" s="9" t="s">
        <v>71</v>
      </c>
      <c r="E401" s="9" t="s">
        <v>1601</v>
      </c>
      <c r="F401" s="9" t="s">
        <v>151</v>
      </c>
      <c r="G401" s="54">
        <v>11750</v>
      </c>
      <c r="H401" s="54">
        <f>1058+1058</f>
        <v>2116</v>
      </c>
      <c r="I401" s="54">
        <f t="shared" si="13"/>
        <v>13866</v>
      </c>
      <c r="J401" s="58" t="e">
        <f>+#REF!+#REF!+#REF!+#REF!-1</f>
        <v>#REF!</v>
      </c>
      <c r="K401" s="8">
        <v>45217</v>
      </c>
    </row>
    <row r="402" spans="1:11" s="1" customFormat="1" ht="45" x14ac:dyDescent="0.2">
      <c r="A402" s="7">
        <v>176</v>
      </c>
      <c r="B402" s="38">
        <v>45073</v>
      </c>
      <c r="C402" s="9" t="s">
        <v>1602</v>
      </c>
      <c r="D402" s="9" t="s">
        <v>71</v>
      </c>
      <c r="E402" s="9" t="s">
        <v>1603</v>
      </c>
      <c r="F402" s="9" t="s">
        <v>1604</v>
      </c>
      <c r="G402" s="54">
        <v>171600</v>
      </c>
      <c r="H402" s="54">
        <v>0</v>
      </c>
      <c r="I402" s="54">
        <f t="shared" si="13"/>
        <v>171600</v>
      </c>
      <c r="J402" s="58" t="e">
        <f>+#REF!+#REF!+#REF!+#REF!</f>
        <v>#REF!</v>
      </c>
      <c r="K402" s="8">
        <v>45078</v>
      </c>
    </row>
    <row r="403" spans="1:11" s="1" customFormat="1" ht="45" x14ac:dyDescent="0.2">
      <c r="A403" s="7">
        <v>177</v>
      </c>
      <c r="B403" s="38">
        <v>45074</v>
      </c>
      <c r="C403" s="9" t="s">
        <v>476</v>
      </c>
      <c r="D403" s="9" t="s">
        <v>71</v>
      </c>
      <c r="E403" s="9" t="s">
        <v>1605</v>
      </c>
      <c r="F403" s="9" t="s">
        <v>1606</v>
      </c>
      <c r="G403" s="54">
        <v>10000</v>
      </c>
      <c r="H403" s="54">
        <v>0</v>
      </c>
      <c r="I403" s="54">
        <f t="shared" si="13"/>
        <v>10000</v>
      </c>
      <c r="J403" s="58" t="e">
        <f>+#REF!+#REF!+#REF!+#REF!</f>
        <v>#REF!</v>
      </c>
      <c r="K403" s="8">
        <v>45074</v>
      </c>
    </row>
    <row r="404" spans="1:11" s="1" customFormat="1" ht="45" x14ac:dyDescent="0.2">
      <c r="A404" s="7">
        <v>178</v>
      </c>
      <c r="B404" s="38">
        <v>45075</v>
      </c>
      <c r="C404" s="9" t="s">
        <v>1607</v>
      </c>
      <c r="D404" s="9" t="s">
        <v>71</v>
      </c>
      <c r="E404" s="9" t="s">
        <v>1608</v>
      </c>
      <c r="F404" s="9" t="s">
        <v>206</v>
      </c>
      <c r="G404" s="54">
        <v>1054</v>
      </c>
      <c r="H404" s="54">
        <f>95+95</f>
        <v>190</v>
      </c>
      <c r="I404" s="54">
        <f t="shared" si="13"/>
        <v>1244</v>
      </c>
      <c r="J404" s="58" t="e">
        <f>+#REF!+#REF!+#REF!+#REF!</f>
        <v>#REF!</v>
      </c>
      <c r="K404" s="58"/>
    </row>
    <row r="405" spans="1:11" s="1" customFormat="1" ht="135" x14ac:dyDescent="0.2">
      <c r="A405" s="7">
        <v>179</v>
      </c>
      <c r="B405" s="38">
        <v>45075</v>
      </c>
      <c r="C405" s="9" t="s">
        <v>1609</v>
      </c>
      <c r="D405" s="9" t="s">
        <v>71</v>
      </c>
      <c r="E405" s="9" t="s">
        <v>1610</v>
      </c>
      <c r="F405" s="9" t="s">
        <v>206</v>
      </c>
      <c r="G405" s="54">
        <v>8570</v>
      </c>
      <c r="H405" s="54">
        <f>771+771</f>
        <v>1542</v>
      </c>
      <c r="I405" s="54">
        <f t="shared" si="13"/>
        <v>10112</v>
      </c>
      <c r="J405" s="58" t="e">
        <f>+#REF!+#REF!+#REF!+#REF!+1</f>
        <v>#REF!</v>
      </c>
      <c r="K405" s="58"/>
    </row>
    <row r="406" spans="1:11" s="1" customFormat="1" ht="45" x14ac:dyDescent="0.2">
      <c r="A406" s="7">
        <v>180</v>
      </c>
      <c r="B406" s="38">
        <v>45075</v>
      </c>
      <c r="C406" s="9" t="s">
        <v>476</v>
      </c>
      <c r="D406" s="9" t="s">
        <v>71</v>
      </c>
      <c r="E406" s="9" t="s">
        <v>1605</v>
      </c>
      <c r="F406" s="9" t="s">
        <v>1606</v>
      </c>
      <c r="G406" s="54">
        <v>10000</v>
      </c>
      <c r="H406" s="54">
        <v>0</v>
      </c>
      <c r="I406" s="54">
        <f t="shared" si="13"/>
        <v>10000</v>
      </c>
      <c r="J406" s="58" t="e">
        <f>+#REF!+#REF!+#REF!+#REF!</f>
        <v>#REF!</v>
      </c>
      <c r="K406" s="8">
        <v>45075</v>
      </c>
    </row>
    <row r="407" spans="1:11" s="1" customFormat="1" ht="75" x14ac:dyDescent="0.2">
      <c r="A407" s="7">
        <v>181</v>
      </c>
      <c r="B407" s="38">
        <v>45076</v>
      </c>
      <c r="C407" s="9"/>
      <c r="D407" s="9" t="s">
        <v>71</v>
      </c>
      <c r="E407" s="9" t="s">
        <v>1611</v>
      </c>
      <c r="F407" s="9" t="s">
        <v>106</v>
      </c>
      <c r="G407" s="54">
        <v>2450</v>
      </c>
      <c r="H407" s="54">
        <v>0</v>
      </c>
      <c r="I407" s="54">
        <f t="shared" si="13"/>
        <v>2450</v>
      </c>
      <c r="J407" s="58" t="e">
        <f>+#REF!+#REF!+#REF!+#REF!</f>
        <v>#REF!</v>
      </c>
      <c r="K407" s="8">
        <v>45076</v>
      </c>
    </row>
    <row r="408" spans="1:11" s="1" customFormat="1" ht="45" x14ac:dyDescent="0.2">
      <c r="A408" s="7">
        <v>182</v>
      </c>
      <c r="B408" s="38">
        <v>45076</v>
      </c>
      <c r="C408" s="9" t="s">
        <v>1612</v>
      </c>
      <c r="D408" s="9" t="s">
        <v>71</v>
      </c>
      <c r="E408" s="9" t="s">
        <v>1613</v>
      </c>
      <c r="F408" s="9" t="s">
        <v>275</v>
      </c>
      <c r="G408" s="54">
        <v>76300</v>
      </c>
      <c r="H408" s="54">
        <v>13734</v>
      </c>
      <c r="I408" s="54">
        <f t="shared" si="13"/>
        <v>90034</v>
      </c>
      <c r="J408" s="58" t="e">
        <f>+#REF!+#REF!+#REF!+#REF!</f>
        <v>#REF!</v>
      </c>
      <c r="K408" s="8">
        <v>45090</v>
      </c>
    </row>
    <row r="409" spans="1:11" s="1" customFormat="1" ht="45" x14ac:dyDescent="0.2">
      <c r="A409" s="7">
        <v>183</v>
      </c>
      <c r="B409" s="38">
        <v>45076</v>
      </c>
      <c r="C409" s="9" t="s">
        <v>1614</v>
      </c>
      <c r="D409" s="9" t="s">
        <v>71</v>
      </c>
      <c r="E409" s="9" t="s">
        <v>1615</v>
      </c>
      <c r="F409" s="9" t="s">
        <v>441</v>
      </c>
      <c r="G409" s="54">
        <v>4400</v>
      </c>
      <c r="H409" s="54">
        <f>396+396</f>
        <v>792</v>
      </c>
      <c r="I409" s="54">
        <f t="shared" si="13"/>
        <v>5192</v>
      </c>
      <c r="J409" s="58" t="e">
        <f>+#REF!+#REF!+#REF!+#REF!</f>
        <v>#REF!</v>
      </c>
      <c r="K409" s="8">
        <v>45140</v>
      </c>
    </row>
    <row r="410" spans="1:11" s="1" customFormat="1" ht="45" x14ac:dyDescent="0.2">
      <c r="A410" s="7">
        <v>184</v>
      </c>
      <c r="B410" s="38">
        <v>45076</v>
      </c>
      <c r="C410" s="9" t="s">
        <v>1616</v>
      </c>
      <c r="D410" s="9" t="s">
        <v>71</v>
      </c>
      <c r="E410" s="9" t="s">
        <v>1617</v>
      </c>
      <c r="F410" s="9" t="s">
        <v>441</v>
      </c>
      <c r="G410" s="54">
        <v>3640</v>
      </c>
      <c r="H410" s="54">
        <f>328+328</f>
        <v>656</v>
      </c>
      <c r="I410" s="54">
        <f t="shared" si="13"/>
        <v>4296</v>
      </c>
      <c r="J410" s="58" t="e">
        <f>+#REF!+#REF!+#REF!+#REF!-1</f>
        <v>#REF!</v>
      </c>
      <c r="K410" s="8">
        <v>45140</v>
      </c>
    </row>
    <row r="411" spans="1:11" s="1" customFormat="1" ht="45" x14ac:dyDescent="0.2">
      <c r="A411" s="7">
        <v>185</v>
      </c>
      <c r="B411" s="38">
        <v>45076</v>
      </c>
      <c r="C411" s="9" t="s">
        <v>476</v>
      </c>
      <c r="D411" s="9" t="s">
        <v>71</v>
      </c>
      <c r="E411" s="9" t="s">
        <v>1605</v>
      </c>
      <c r="F411" s="9" t="s">
        <v>1606</v>
      </c>
      <c r="G411" s="54">
        <v>10000</v>
      </c>
      <c r="H411" s="54">
        <v>0</v>
      </c>
      <c r="I411" s="54">
        <f t="shared" si="13"/>
        <v>10000</v>
      </c>
      <c r="J411" s="58" t="e">
        <f>+#REF!+#REF!+#REF!+#REF!</f>
        <v>#REF!</v>
      </c>
      <c r="K411" s="8">
        <v>45076</v>
      </c>
    </row>
    <row r="412" spans="1:11" s="1" customFormat="1" ht="45" x14ac:dyDescent="0.2">
      <c r="A412" s="7">
        <v>186</v>
      </c>
      <c r="B412" s="38">
        <v>45076</v>
      </c>
      <c r="C412" s="9" t="s">
        <v>1618</v>
      </c>
      <c r="D412" s="9" t="s">
        <v>71</v>
      </c>
      <c r="E412" s="9" t="s">
        <v>1619</v>
      </c>
      <c r="F412" s="9" t="s">
        <v>1620</v>
      </c>
      <c r="G412" s="54">
        <v>9600</v>
      </c>
      <c r="H412" s="54">
        <f>864+864</f>
        <v>1728</v>
      </c>
      <c r="I412" s="54">
        <f t="shared" si="13"/>
        <v>11328</v>
      </c>
      <c r="J412" s="58" t="e">
        <f>+#REF!+#REF!+#REF!+#REF!</f>
        <v>#REF!</v>
      </c>
      <c r="K412" s="8">
        <v>45160</v>
      </c>
    </row>
    <row r="413" spans="1:11" s="1" customFormat="1" ht="45" x14ac:dyDescent="0.2">
      <c r="A413" s="7">
        <v>187</v>
      </c>
      <c r="B413" s="38">
        <v>45076</v>
      </c>
      <c r="C413" s="9" t="s">
        <v>1621</v>
      </c>
      <c r="D413" s="9" t="s">
        <v>71</v>
      </c>
      <c r="E413" s="9" t="s">
        <v>1622</v>
      </c>
      <c r="F413" s="9" t="s">
        <v>447</v>
      </c>
      <c r="G413" s="54">
        <v>2033.6</v>
      </c>
      <c r="H413" s="54">
        <f>183+183</f>
        <v>366</v>
      </c>
      <c r="I413" s="54">
        <f t="shared" si="13"/>
        <v>2399.6</v>
      </c>
      <c r="J413" s="58" t="e">
        <f>+#REF!+#REF!+#REF!+#REF!+0.4</f>
        <v>#REF!</v>
      </c>
      <c r="K413" s="8">
        <v>45136</v>
      </c>
    </row>
    <row r="414" spans="1:11" s="1" customFormat="1" ht="45" x14ac:dyDescent="0.2">
      <c r="A414" s="7">
        <v>188</v>
      </c>
      <c r="B414" s="38">
        <v>45077</v>
      </c>
      <c r="C414" s="9" t="s">
        <v>476</v>
      </c>
      <c r="D414" s="9" t="s">
        <v>71</v>
      </c>
      <c r="E414" s="9" t="s">
        <v>1605</v>
      </c>
      <c r="F414" s="9" t="s">
        <v>1606</v>
      </c>
      <c r="G414" s="54">
        <v>5600</v>
      </c>
      <c r="H414" s="54">
        <v>0</v>
      </c>
      <c r="I414" s="54">
        <f t="shared" si="13"/>
        <v>5600</v>
      </c>
      <c r="J414" s="58" t="e">
        <f>+#REF!+#REF!+#REF!+#REF!</f>
        <v>#REF!</v>
      </c>
      <c r="K414" s="8">
        <v>45077</v>
      </c>
    </row>
    <row r="415" spans="1:11" s="1" customFormat="1" ht="45" x14ac:dyDescent="0.2">
      <c r="A415" s="7">
        <v>189</v>
      </c>
      <c r="B415" s="38">
        <v>45077</v>
      </c>
      <c r="C415" s="9" t="s">
        <v>1623</v>
      </c>
      <c r="D415" s="9" t="s">
        <v>71</v>
      </c>
      <c r="E415" s="9" t="s">
        <v>1624</v>
      </c>
      <c r="F415" s="9" t="s">
        <v>275</v>
      </c>
      <c r="G415" s="54">
        <v>110816</v>
      </c>
      <c r="H415" s="54">
        <v>19947</v>
      </c>
      <c r="I415" s="54">
        <f t="shared" si="13"/>
        <v>130763</v>
      </c>
      <c r="J415" s="58" t="e">
        <f>+#REF!+#REF!+#REF!+#REF!</f>
        <v>#REF!</v>
      </c>
      <c r="K415" s="8">
        <v>45090</v>
      </c>
    </row>
    <row r="416" spans="1:11" s="1" customFormat="1" ht="45" x14ac:dyDescent="0.2">
      <c r="A416" s="7">
        <v>190</v>
      </c>
      <c r="B416" s="38">
        <v>45077</v>
      </c>
      <c r="C416" s="9" t="s">
        <v>1625</v>
      </c>
      <c r="D416" s="9" t="s">
        <v>71</v>
      </c>
      <c r="E416" s="9" t="s">
        <v>1595</v>
      </c>
      <c r="F416" s="9" t="s">
        <v>562</v>
      </c>
      <c r="G416" s="54">
        <v>2172</v>
      </c>
      <c r="H416" s="54">
        <f>195+195</f>
        <v>390</v>
      </c>
      <c r="I416" s="54">
        <f t="shared" si="13"/>
        <v>2562</v>
      </c>
      <c r="J416" s="58" t="e">
        <f>+#REF!+#REF!+#REF!+#REF!+1</f>
        <v>#REF!</v>
      </c>
      <c r="K416" s="8">
        <v>45136</v>
      </c>
    </row>
    <row r="417" spans="1:11" s="1" customFormat="1" ht="105" x14ac:dyDescent="0.2">
      <c r="A417" s="7">
        <v>192</v>
      </c>
      <c r="B417" s="38">
        <v>45096</v>
      </c>
      <c r="C417" s="9" t="s">
        <v>1712</v>
      </c>
      <c r="D417" s="9" t="s">
        <v>71</v>
      </c>
      <c r="E417" s="9" t="s">
        <v>1646</v>
      </c>
      <c r="F417" s="9" t="s">
        <v>1647</v>
      </c>
      <c r="G417" s="54">
        <v>98000</v>
      </c>
      <c r="H417" s="54">
        <f>8820+8820</f>
        <v>17640</v>
      </c>
      <c r="I417" s="54">
        <f t="shared" ref="I417:I474" si="14">+G417+H417</f>
        <v>115640</v>
      </c>
      <c r="J417" s="58" t="e">
        <f>+#REF!+#REF!+#REF!+#REF!</f>
        <v>#REF!</v>
      </c>
      <c r="K417" s="58" t="s">
        <v>2010</v>
      </c>
    </row>
    <row r="418" spans="1:11" s="1" customFormat="1" ht="75" x14ac:dyDescent="0.2">
      <c r="A418" s="7">
        <v>193</v>
      </c>
      <c r="B418" s="38">
        <v>45077</v>
      </c>
      <c r="C418" s="9" t="s">
        <v>1649</v>
      </c>
      <c r="D418" s="9" t="s">
        <v>71</v>
      </c>
      <c r="E418" s="9" t="s">
        <v>1650</v>
      </c>
      <c r="F418" s="9" t="s">
        <v>46</v>
      </c>
      <c r="G418" s="54">
        <v>185000</v>
      </c>
      <c r="H418" s="54">
        <f>16650+16650</f>
        <v>33300</v>
      </c>
      <c r="I418" s="54">
        <f t="shared" si="14"/>
        <v>218300</v>
      </c>
      <c r="J418" s="58" t="e">
        <f>+#REF!+#REF!+#REF!+#REF!</f>
        <v>#REF!</v>
      </c>
      <c r="K418" s="58" t="s">
        <v>1932</v>
      </c>
    </row>
    <row r="419" spans="1:11" s="1" customFormat="1" ht="60" x14ac:dyDescent="0.2">
      <c r="A419" s="7">
        <v>194</v>
      </c>
      <c r="B419" s="38">
        <v>45077</v>
      </c>
      <c r="C419" s="9" t="s">
        <v>1651</v>
      </c>
      <c r="D419" s="9" t="s">
        <v>71</v>
      </c>
      <c r="E419" s="9" t="s">
        <v>1652</v>
      </c>
      <c r="F419" s="9" t="s">
        <v>46</v>
      </c>
      <c r="G419" s="54">
        <v>45000</v>
      </c>
      <c r="H419" s="54">
        <f>4050+4050</f>
        <v>8100</v>
      </c>
      <c r="I419" s="54">
        <f t="shared" si="14"/>
        <v>53100</v>
      </c>
      <c r="J419" s="58" t="e">
        <f>+#REF!+#REF!+#REF!+#REF!</f>
        <v>#REF!</v>
      </c>
      <c r="K419" s="8">
        <v>45059</v>
      </c>
    </row>
    <row r="420" spans="1:11" s="1" customFormat="1" ht="60" x14ac:dyDescent="0.2">
      <c r="A420" s="7">
        <v>195</v>
      </c>
      <c r="B420" s="38">
        <v>45082</v>
      </c>
      <c r="C420" s="9">
        <v>204</v>
      </c>
      <c r="D420" s="9" t="s">
        <v>71</v>
      </c>
      <c r="E420" s="9" t="s">
        <v>1752</v>
      </c>
      <c r="F420" s="9" t="s">
        <v>254</v>
      </c>
      <c r="G420" s="54">
        <v>52400</v>
      </c>
      <c r="H420" s="54">
        <f>4716+4716</f>
        <v>9432</v>
      </c>
      <c r="I420" s="54">
        <f t="shared" si="14"/>
        <v>61832</v>
      </c>
      <c r="J420" s="58" t="e">
        <f>+#REF!+#REF!+#REF!+#REF!</f>
        <v>#REF!</v>
      </c>
      <c r="K420" s="8">
        <v>45162</v>
      </c>
    </row>
    <row r="421" spans="1:11" s="1" customFormat="1" ht="45" x14ac:dyDescent="0.2">
      <c r="A421" s="7">
        <v>196</v>
      </c>
      <c r="B421" s="38">
        <v>45083</v>
      </c>
      <c r="C421" s="9">
        <v>453530066</v>
      </c>
      <c r="D421" s="9" t="s">
        <v>71</v>
      </c>
      <c r="E421" s="9" t="s">
        <v>1665</v>
      </c>
      <c r="F421" s="9" t="s">
        <v>987</v>
      </c>
      <c r="G421" s="54">
        <v>5143</v>
      </c>
      <c r="H421" s="54">
        <v>0</v>
      </c>
      <c r="I421" s="54">
        <f t="shared" si="14"/>
        <v>5143</v>
      </c>
      <c r="J421" s="58" t="e">
        <f>+#REF!+#REF!+#REF!+#REF!</f>
        <v>#REF!</v>
      </c>
      <c r="K421" s="58"/>
    </row>
    <row r="422" spans="1:11" s="1" customFormat="1" ht="120" x14ac:dyDescent="0.2">
      <c r="A422" s="7">
        <v>197</v>
      </c>
      <c r="B422" s="38">
        <v>45084</v>
      </c>
      <c r="C422" s="9" t="s">
        <v>1666</v>
      </c>
      <c r="D422" s="9" t="s">
        <v>71</v>
      </c>
      <c r="E422" s="9" t="s">
        <v>1667</v>
      </c>
      <c r="F422" s="9" t="s">
        <v>275</v>
      </c>
      <c r="G422" s="54">
        <v>592400</v>
      </c>
      <c r="H422" s="54">
        <v>106632</v>
      </c>
      <c r="I422" s="54">
        <f t="shared" si="14"/>
        <v>699032</v>
      </c>
      <c r="J422" s="58" t="e">
        <f>+#REF!+#REF!+#REF!+#REF!</f>
        <v>#REF!</v>
      </c>
      <c r="K422" s="8">
        <v>45090</v>
      </c>
    </row>
    <row r="423" spans="1:11" s="1" customFormat="1" ht="150" x14ac:dyDescent="0.2">
      <c r="A423" s="7">
        <v>198</v>
      </c>
      <c r="B423" s="38">
        <v>45086</v>
      </c>
      <c r="C423" s="9" t="s">
        <v>1672</v>
      </c>
      <c r="D423" s="9" t="s">
        <v>71</v>
      </c>
      <c r="E423" s="9" t="s">
        <v>1673</v>
      </c>
      <c r="F423" s="9" t="s">
        <v>275</v>
      </c>
      <c r="G423" s="54">
        <v>86600</v>
      </c>
      <c r="H423" s="54">
        <v>15588</v>
      </c>
      <c r="I423" s="54">
        <f t="shared" si="14"/>
        <v>102188</v>
      </c>
      <c r="J423" s="58" t="e">
        <f>+#REF!+#REF!+#REF!+#REF!</f>
        <v>#REF!</v>
      </c>
      <c r="K423" s="8">
        <v>45058</v>
      </c>
    </row>
    <row r="424" spans="1:11" s="1" customFormat="1" ht="45" x14ac:dyDescent="0.2">
      <c r="A424" s="7">
        <v>199</v>
      </c>
      <c r="B424" s="38">
        <v>45091</v>
      </c>
      <c r="C424" s="9" t="s">
        <v>1688</v>
      </c>
      <c r="D424" s="9" t="s">
        <v>71</v>
      </c>
      <c r="E424" s="9" t="s">
        <v>1687</v>
      </c>
      <c r="F424" s="9" t="s">
        <v>275</v>
      </c>
      <c r="G424" s="54">
        <v>225000</v>
      </c>
      <c r="H424" s="54">
        <v>40500</v>
      </c>
      <c r="I424" s="54">
        <f t="shared" si="14"/>
        <v>265500</v>
      </c>
      <c r="J424" s="58" t="e">
        <f>+#REF!+#REF!+#REF!+#REF!</f>
        <v>#REF!</v>
      </c>
      <c r="K424" s="8" t="s">
        <v>1924</v>
      </c>
    </row>
    <row r="425" spans="1:11" s="1" customFormat="1" ht="60" x14ac:dyDescent="0.2">
      <c r="A425" s="7">
        <v>200</v>
      </c>
      <c r="B425" s="38">
        <v>45091</v>
      </c>
      <c r="C425" s="9" t="s">
        <v>1691</v>
      </c>
      <c r="D425" s="9" t="s">
        <v>71</v>
      </c>
      <c r="E425" s="9" t="s">
        <v>1692</v>
      </c>
      <c r="F425" s="9" t="s">
        <v>817</v>
      </c>
      <c r="G425" s="54">
        <v>16096</v>
      </c>
      <c r="H425" s="54">
        <f>1449+1449</f>
        <v>2898</v>
      </c>
      <c r="I425" s="54">
        <f t="shared" si="14"/>
        <v>18994</v>
      </c>
      <c r="J425" s="58" t="e">
        <f>+#REF!+#REF!+#REF!+#REF!-1</f>
        <v>#REF!</v>
      </c>
      <c r="K425" s="8">
        <v>45162</v>
      </c>
    </row>
    <row r="426" spans="1:11" s="1" customFormat="1" ht="120" x14ac:dyDescent="0.2">
      <c r="A426" s="7">
        <v>201</v>
      </c>
      <c r="B426" s="38">
        <v>45093</v>
      </c>
      <c r="C426" s="9" t="s">
        <v>1740</v>
      </c>
      <c r="D426" s="9" t="s">
        <v>71</v>
      </c>
      <c r="E426" s="9" t="s">
        <v>1741</v>
      </c>
      <c r="F426" s="9" t="s">
        <v>275</v>
      </c>
      <c r="G426" s="54">
        <v>65790</v>
      </c>
      <c r="H426" s="54">
        <v>11842</v>
      </c>
      <c r="I426" s="54">
        <f t="shared" si="14"/>
        <v>77632</v>
      </c>
      <c r="J426" s="58" t="e">
        <f>+#REF!+#REF!+#REF!+#REF!</f>
        <v>#REF!</v>
      </c>
      <c r="K426" s="8">
        <v>45058</v>
      </c>
    </row>
    <row r="427" spans="1:11" s="1" customFormat="1" ht="60" x14ac:dyDescent="0.2">
      <c r="A427" s="7">
        <v>202</v>
      </c>
      <c r="B427" s="38">
        <v>45096</v>
      </c>
      <c r="C427" s="9" t="s">
        <v>476</v>
      </c>
      <c r="D427" s="9" t="s">
        <v>71</v>
      </c>
      <c r="E427" s="9" t="s">
        <v>1713</v>
      </c>
      <c r="F427" s="9" t="s">
        <v>762</v>
      </c>
      <c r="G427" s="54">
        <v>10000</v>
      </c>
      <c r="H427" s="54">
        <v>0</v>
      </c>
      <c r="I427" s="54">
        <f t="shared" si="14"/>
        <v>10000</v>
      </c>
      <c r="J427" s="58" t="e">
        <f>+#REF!+#REF!+#REF!+#REF!</f>
        <v>#REF!</v>
      </c>
      <c r="K427" s="8">
        <v>45096</v>
      </c>
    </row>
    <row r="428" spans="1:11" s="1" customFormat="1" ht="45" x14ac:dyDescent="0.2">
      <c r="A428" s="7">
        <v>203</v>
      </c>
      <c r="B428" s="38">
        <v>45096</v>
      </c>
      <c r="C428" s="9" t="s">
        <v>476</v>
      </c>
      <c r="D428" s="9" t="s">
        <v>71</v>
      </c>
      <c r="E428" s="9" t="s">
        <v>1714</v>
      </c>
      <c r="F428" s="9" t="s">
        <v>1715</v>
      </c>
      <c r="G428" s="54">
        <v>7000</v>
      </c>
      <c r="H428" s="54">
        <v>0</v>
      </c>
      <c r="I428" s="54">
        <f t="shared" si="14"/>
        <v>7000</v>
      </c>
      <c r="J428" s="58" t="e">
        <f>+#REF!+#REF!+#REF!+#REF!</f>
        <v>#REF!</v>
      </c>
      <c r="K428" s="8">
        <v>45096</v>
      </c>
    </row>
    <row r="429" spans="1:11" s="1" customFormat="1" ht="60" x14ac:dyDescent="0.2">
      <c r="A429" s="7">
        <v>204</v>
      </c>
      <c r="B429" s="38">
        <v>45097</v>
      </c>
      <c r="C429" s="9" t="s">
        <v>476</v>
      </c>
      <c r="D429" s="9" t="s">
        <v>71</v>
      </c>
      <c r="E429" s="9" t="s">
        <v>1716</v>
      </c>
      <c r="F429" s="9" t="s">
        <v>762</v>
      </c>
      <c r="G429" s="54">
        <v>9000</v>
      </c>
      <c r="H429" s="54">
        <v>0</v>
      </c>
      <c r="I429" s="54">
        <f t="shared" si="14"/>
        <v>9000</v>
      </c>
      <c r="J429" s="58" t="e">
        <f>+#REF!+#REF!+#REF!+#REF!</f>
        <v>#REF!</v>
      </c>
      <c r="K429" s="8">
        <v>45097</v>
      </c>
    </row>
    <row r="430" spans="1:11" s="1" customFormat="1" ht="60" x14ac:dyDescent="0.2">
      <c r="A430" s="7">
        <v>205</v>
      </c>
      <c r="B430" s="38">
        <v>45098</v>
      </c>
      <c r="C430" s="9" t="s">
        <v>1705</v>
      </c>
      <c r="D430" s="9" t="s">
        <v>71</v>
      </c>
      <c r="E430" s="9" t="s">
        <v>1706</v>
      </c>
      <c r="F430" s="9" t="s">
        <v>145</v>
      </c>
      <c r="G430" s="54">
        <v>1810000</v>
      </c>
      <c r="H430" s="54">
        <f>162900+162900</f>
        <v>325800</v>
      </c>
      <c r="I430" s="54">
        <f t="shared" si="14"/>
        <v>2135800</v>
      </c>
      <c r="J430" s="58" t="e">
        <f>+#REF!+#REF!+#REF!+#REF!</f>
        <v>#REF!</v>
      </c>
      <c r="K430" s="8" t="s">
        <v>1967</v>
      </c>
    </row>
    <row r="431" spans="1:11" s="1" customFormat="1" ht="45" x14ac:dyDescent="0.2">
      <c r="A431" s="7">
        <v>206</v>
      </c>
      <c r="B431" s="38">
        <v>45099</v>
      </c>
      <c r="C431" s="9" t="s">
        <v>1742</v>
      </c>
      <c r="D431" s="9" t="s">
        <v>71</v>
      </c>
      <c r="E431" s="9" t="s">
        <v>1743</v>
      </c>
      <c r="F431" s="9" t="s">
        <v>275</v>
      </c>
      <c r="G431" s="54">
        <v>19800</v>
      </c>
      <c r="H431" s="54">
        <v>3564</v>
      </c>
      <c r="I431" s="54">
        <f t="shared" si="14"/>
        <v>23364</v>
      </c>
      <c r="J431" s="58" t="e">
        <f>+#REF!+#REF!+#REF!+#REF!</f>
        <v>#REF!</v>
      </c>
      <c r="K431" s="8">
        <v>45058</v>
      </c>
    </row>
    <row r="432" spans="1:11" s="1" customFormat="1" ht="60" x14ac:dyDescent="0.2">
      <c r="A432" s="7">
        <v>207</v>
      </c>
      <c r="B432" s="38">
        <v>45105</v>
      </c>
      <c r="C432" s="9" t="s">
        <v>1726</v>
      </c>
      <c r="D432" s="9" t="s">
        <v>71</v>
      </c>
      <c r="E432" s="9" t="s">
        <v>1727</v>
      </c>
      <c r="F432" s="9" t="s">
        <v>39</v>
      </c>
      <c r="G432" s="54">
        <v>167873.5</v>
      </c>
      <c r="H432" s="54">
        <f>15109+15109</f>
        <v>30218</v>
      </c>
      <c r="I432" s="54">
        <f t="shared" si="14"/>
        <v>198091.5</v>
      </c>
      <c r="J432" s="58" t="e">
        <f>+#REF!+#REF!+#REF!+#REF!-0.5</f>
        <v>#REF!</v>
      </c>
      <c r="K432" s="8">
        <v>45069</v>
      </c>
    </row>
    <row r="433" spans="1:11" s="1" customFormat="1" ht="45" x14ac:dyDescent="0.2">
      <c r="A433" s="7">
        <v>208</v>
      </c>
      <c r="B433" s="38">
        <v>45105</v>
      </c>
      <c r="C433" s="9" t="s">
        <v>1746</v>
      </c>
      <c r="D433" s="9" t="s">
        <v>71</v>
      </c>
      <c r="E433" s="9" t="s">
        <v>1747</v>
      </c>
      <c r="F433" s="9" t="s">
        <v>39</v>
      </c>
      <c r="G433" s="54">
        <v>48640</v>
      </c>
      <c r="H433" s="54">
        <f>4378+4378</f>
        <v>8756</v>
      </c>
      <c r="I433" s="54">
        <f t="shared" si="14"/>
        <v>57396</v>
      </c>
      <c r="J433" s="58" t="e">
        <f>+#REF!+#REF!+#REF!+#REF!-1</f>
        <v>#REF!</v>
      </c>
      <c r="K433" s="8">
        <v>45106</v>
      </c>
    </row>
    <row r="434" spans="1:11" s="1" customFormat="1" ht="45" x14ac:dyDescent="0.2">
      <c r="A434" s="7">
        <v>209</v>
      </c>
      <c r="B434" s="38">
        <v>45113</v>
      </c>
      <c r="C434" s="9" t="s">
        <v>1753</v>
      </c>
      <c r="D434" s="9" t="s">
        <v>71</v>
      </c>
      <c r="E434" s="9" t="s">
        <v>1754</v>
      </c>
      <c r="F434" s="9" t="s">
        <v>116</v>
      </c>
      <c r="G434" s="54">
        <v>23808</v>
      </c>
      <c r="H434" s="54">
        <f>2143+2143</f>
        <v>4286</v>
      </c>
      <c r="I434" s="54">
        <f t="shared" si="14"/>
        <v>28094</v>
      </c>
      <c r="J434" s="58" t="e">
        <f>+#REF!+#REF!+#REF!+#REF!-1</f>
        <v>#REF!</v>
      </c>
      <c r="K434" s="8">
        <v>45190</v>
      </c>
    </row>
    <row r="435" spans="1:11" s="1" customFormat="1" ht="150" x14ac:dyDescent="0.2">
      <c r="A435" s="7">
        <v>210</v>
      </c>
      <c r="B435" s="38">
        <v>45115</v>
      </c>
      <c r="C435" s="9" t="s">
        <v>1755</v>
      </c>
      <c r="D435" s="9" t="s">
        <v>71</v>
      </c>
      <c r="E435" s="9" t="s">
        <v>1756</v>
      </c>
      <c r="F435" s="9" t="s">
        <v>145</v>
      </c>
      <c r="G435" s="54">
        <v>359163</v>
      </c>
      <c r="H435" s="54">
        <f>32325+32325</f>
        <v>64650</v>
      </c>
      <c r="I435" s="54">
        <f t="shared" si="14"/>
        <v>423813</v>
      </c>
      <c r="J435" s="58" t="e">
        <f>+#REF!+#REF!+#REF!+#REF!-1</f>
        <v>#REF!</v>
      </c>
      <c r="K435" s="8">
        <v>45133</v>
      </c>
    </row>
    <row r="436" spans="1:11" s="1" customFormat="1" ht="60" x14ac:dyDescent="0.2">
      <c r="A436" s="7">
        <v>211</v>
      </c>
      <c r="B436" s="38">
        <v>45117</v>
      </c>
      <c r="C436" s="9" t="s">
        <v>1757</v>
      </c>
      <c r="D436" s="9" t="s">
        <v>71</v>
      </c>
      <c r="E436" s="9" t="s">
        <v>1758</v>
      </c>
      <c r="F436" s="9" t="s">
        <v>447</v>
      </c>
      <c r="G436" s="54">
        <v>4456.32</v>
      </c>
      <c r="H436" s="54">
        <f>401+401</f>
        <v>802</v>
      </c>
      <c r="I436" s="54">
        <f t="shared" si="14"/>
        <v>5258.32</v>
      </c>
      <c r="J436" s="58" t="e">
        <f>+#REF!+#REF!+#REF!+#REF!-0.32</f>
        <v>#REF!</v>
      </c>
      <c r="K436" s="8">
        <v>45190</v>
      </c>
    </row>
    <row r="437" spans="1:11" s="1" customFormat="1" ht="60" x14ac:dyDescent="0.2">
      <c r="A437" s="7">
        <v>212</v>
      </c>
      <c r="B437" s="38">
        <v>45117</v>
      </c>
      <c r="C437" s="9" t="s">
        <v>1782</v>
      </c>
      <c r="D437" s="9" t="s">
        <v>71</v>
      </c>
      <c r="E437" s="9" t="s">
        <v>1783</v>
      </c>
      <c r="F437" s="9" t="s">
        <v>1397</v>
      </c>
      <c r="G437" s="54">
        <v>51600</v>
      </c>
      <c r="H437" s="54">
        <f>4644+4644</f>
        <v>9288</v>
      </c>
      <c r="I437" s="54">
        <f t="shared" si="14"/>
        <v>60888</v>
      </c>
      <c r="J437" s="58" t="e">
        <f>+#REF!+#REF!+#REF!+#REF!</f>
        <v>#REF!</v>
      </c>
      <c r="K437" s="8">
        <v>45136</v>
      </c>
    </row>
    <row r="438" spans="1:11" s="1" customFormat="1" ht="60" x14ac:dyDescent="0.2">
      <c r="A438" s="7">
        <v>213</v>
      </c>
      <c r="B438" s="38">
        <v>45126</v>
      </c>
      <c r="C438" s="9" t="s">
        <v>1764</v>
      </c>
      <c r="D438" s="9" t="s">
        <v>71</v>
      </c>
      <c r="E438" s="9" t="s">
        <v>1765</v>
      </c>
      <c r="F438" s="9" t="s">
        <v>325</v>
      </c>
      <c r="G438" s="54">
        <v>90000</v>
      </c>
      <c r="H438" s="54">
        <v>16200</v>
      </c>
      <c r="I438" s="54">
        <f t="shared" si="14"/>
        <v>106200</v>
      </c>
      <c r="J438" s="58" t="e">
        <f>+#REF!+#REF!+#REF!+#REF!</f>
        <v>#REF!</v>
      </c>
      <c r="K438" s="58"/>
    </row>
    <row r="439" spans="1:11" s="1" customFormat="1" ht="45" x14ac:dyDescent="0.2">
      <c r="A439" s="7">
        <v>214</v>
      </c>
      <c r="B439" s="38">
        <v>45126</v>
      </c>
      <c r="C439" s="9" t="s">
        <v>1784</v>
      </c>
      <c r="D439" s="9" t="s">
        <v>71</v>
      </c>
      <c r="E439" s="9" t="s">
        <v>1785</v>
      </c>
      <c r="F439" s="9" t="s">
        <v>447</v>
      </c>
      <c r="G439" s="54">
        <v>3324</v>
      </c>
      <c r="H439" s="54">
        <f>299+299</f>
        <v>598</v>
      </c>
      <c r="I439" s="54">
        <f t="shared" si="14"/>
        <v>3922</v>
      </c>
      <c r="J439" s="58" t="e">
        <f>+#REF!+#REF!+#REF!+#REF!</f>
        <v>#REF!</v>
      </c>
      <c r="K439" s="8">
        <v>45171</v>
      </c>
    </row>
    <row r="440" spans="1:11" s="1" customFormat="1" ht="45" x14ac:dyDescent="0.2">
      <c r="A440" s="7">
        <v>215</v>
      </c>
      <c r="B440" s="38">
        <v>45126</v>
      </c>
      <c r="C440" s="9" t="s">
        <v>1786</v>
      </c>
      <c r="D440" s="9" t="s">
        <v>71</v>
      </c>
      <c r="E440" s="9" t="s">
        <v>1787</v>
      </c>
      <c r="F440" s="9" t="s">
        <v>116</v>
      </c>
      <c r="G440" s="54">
        <v>20730.599999999999</v>
      </c>
      <c r="H440" s="54">
        <f>1866+1866</f>
        <v>3732</v>
      </c>
      <c r="I440" s="54">
        <f t="shared" si="14"/>
        <v>24462.6</v>
      </c>
      <c r="J440" s="58" t="e">
        <f>+#REF!+#REF!+#REF!+#REF!-0.6</f>
        <v>#REF!</v>
      </c>
      <c r="K440" s="8">
        <v>45190</v>
      </c>
    </row>
    <row r="441" spans="1:11" s="1" customFormat="1" ht="75" x14ac:dyDescent="0.2">
      <c r="A441" s="7">
        <v>216</v>
      </c>
      <c r="B441" s="38">
        <v>45129</v>
      </c>
      <c r="C441" s="9" t="s">
        <v>1788</v>
      </c>
      <c r="D441" s="9" t="s">
        <v>71</v>
      </c>
      <c r="E441" s="9" t="s">
        <v>1789</v>
      </c>
      <c r="F441" s="9" t="s">
        <v>447</v>
      </c>
      <c r="G441" s="54">
        <v>20630.400000000001</v>
      </c>
      <c r="H441" s="54">
        <f>1857+1857</f>
        <v>3714</v>
      </c>
      <c r="I441" s="54">
        <f t="shared" si="14"/>
        <v>24344.400000000001</v>
      </c>
      <c r="J441" s="58" t="e">
        <f>+#REF!+#REF!+#REF!+#REF!-0.4</f>
        <v>#REF!</v>
      </c>
      <c r="K441" s="8">
        <v>45190</v>
      </c>
    </row>
    <row r="442" spans="1:11" s="1" customFormat="1" ht="45" x14ac:dyDescent="0.2">
      <c r="A442" s="7">
        <v>217</v>
      </c>
      <c r="B442" s="38">
        <v>45129</v>
      </c>
      <c r="C442" s="9" t="s">
        <v>1790</v>
      </c>
      <c r="D442" s="9" t="s">
        <v>71</v>
      </c>
      <c r="E442" s="9" t="s">
        <v>1791</v>
      </c>
      <c r="F442" s="9" t="s">
        <v>441</v>
      </c>
      <c r="G442" s="54">
        <v>9400</v>
      </c>
      <c r="H442" s="54">
        <f>846+846</f>
        <v>1692</v>
      </c>
      <c r="I442" s="54">
        <f t="shared" si="14"/>
        <v>11092</v>
      </c>
      <c r="J442" s="58" t="e">
        <f>+#REF!+#REF!+#REF!+#REF!</f>
        <v>#REF!</v>
      </c>
      <c r="K442" s="8">
        <v>45194</v>
      </c>
    </row>
    <row r="443" spans="1:11" s="1" customFormat="1" ht="105" x14ac:dyDescent="0.2">
      <c r="A443" s="7">
        <v>218</v>
      </c>
      <c r="B443" s="38">
        <v>45138</v>
      </c>
      <c r="C443" s="9" t="s">
        <v>1766</v>
      </c>
      <c r="D443" s="9" t="s">
        <v>71</v>
      </c>
      <c r="E443" s="9" t="s">
        <v>1767</v>
      </c>
      <c r="F443" s="9" t="s">
        <v>1647</v>
      </c>
      <c r="G443" s="54">
        <v>33300</v>
      </c>
      <c r="H443" s="54">
        <f>2997+2997</f>
        <v>5994</v>
      </c>
      <c r="I443" s="54">
        <f t="shared" si="14"/>
        <v>39294</v>
      </c>
      <c r="J443" s="58" t="e">
        <f>+#REF!+#REF!+#REF!+#REF!</f>
        <v>#REF!</v>
      </c>
      <c r="K443" s="8">
        <v>45140</v>
      </c>
    </row>
    <row r="444" spans="1:11" s="1" customFormat="1" ht="60" x14ac:dyDescent="0.2">
      <c r="A444" s="7">
        <v>219</v>
      </c>
      <c r="B444" s="38">
        <v>45139</v>
      </c>
      <c r="C444" s="9" t="s">
        <v>1869</v>
      </c>
      <c r="D444" s="9" t="s">
        <v>71</v>
      </c>
      <c r="E444" s="9" t="s">
        <v>1870</v>
      </c>
      <c r="F444" s="9" t="s">
        <v>145</v>
      </c>
      <c r="G444" s="54">
        <v>15000</v>
      </c>
      <c r="H444" s="54">
        <f>1350+1350</f>
        <v>2700</v>
      </c>
      <c r="I444" s="54">
        <f t="shared" si="14"/>
        <v>17700</v>
      </c>
      <c r="J444" s="58" t="e">
        <f>+#REF!+#REF!+#REF!+#REF!</f>
        <v>#REF!</v>
      </c>
      <c r="K444" s="8">
        <v>45199</v>
      </c>
    </row>
    <row r="445" spans="1:11" s="1" customFormat="1" ht="60" x14ac:dyDescent="0.2">
      <c r="A445" s="7">
        <v>220</v>
      </c>
      <c r="B445" s="38">
        <v>45152</v>
      </c>
      <c r="C445" s="9" t="s">
        <v>1888</v>
      </c>
      <c r="D445" s="9" t="s">
        <v>71</v>
      </c>
      <c r="E445" s="9" t="s">
        <v>1889</v>
      </c>
      <c r="F445" s="9" t="s">
        <v>275</v>
      </c>
      <c r="G445" s="54">
        <v>35800</v>
      </c>
      <c r="H445" s="54">
        <v>6444</v>
      </c>
      <c r="I445" s="54">
        <f t="shared" si="14"/>
        <v>42244</v>
      </c>
      <c r="J445" s="58" t="e">
        <f>+#REF!+#REF!+#REF!+#REF!</f>
        <v>#REF!</v>
      </c>
      <c r="K445" s="8">
        <v>45259</v>
      </c>
    </row>
    <row r="446" spans="1:11" s="1" customFormat="1" ht="45" x14ac:dyDescent="0.2">
      <c r="A446" s="7">
        <v>221</v>
      </c>
      <c r="B446" s="38">
        <v>45230</v>
      </c>
      <c r="C446" s="9">
        <v>31732</v>
      </c>
      <c r="D446" s="9" t="s">
        <v>71</v>
      </c>
      <c r="E446" s="9" t="s">
        <v>2016</v>
      </c>
      <c r="F446" s="9" t="s">
        <v>45</v>
      </c>
      <c r="G446" s="54">
        <v>376495</v>
      </c>
      <c r="H446" s="54">
        <f>33884.55+33884.55</f>
        <v>67769.100000000006</v>
      </c>
      <c r="I446" s="54">
        <f t="shared" si="14"/>
        <v>444264.1</v>
      </c>
      <c r="J446" s="58" t="e">
        <f>+#REF!+#REF!+#REF!+#REF!-0.1</f>
        <v>#REF!</v>
      </c>
      <c r="K446" s="8">
        <v>45216</v>
      </c>
    </row>
    <row r="447" spans="1:11" s="1" customFormat="1" ht="45" x14ac:dyDescent="0.2">
      <c r="A447" s="7">
        <v>222</v>
      </c>
      <c r="B447" s="38">
        <v>45230</v>
      </c>
      <c r="C447" s="9">
        <v>31776</v>
      </c>
      <c r="D447" s="9" t="s">
        <v>71</v>
      </c>
      <c r="E447" s="9" t="s">
        <v>2016</v>
      </c>
      <c r="F447" s="9" t="s">
        <v>45</v>
      </c>
      <c r="G447" s="54">
        <v>205472.5</v>
      </c>
      <c r="H447" s="54">
        <f>18492.53+18492.53</f>
        <v>36985.06</v>
      </c>
      <c r="I447" s="54">
        <f t="shared" si="14"/>
        <v>242457.56</v>
      </c>
      <c r="J447" s="58" t="e">
        <f>+#REF!+#REF!+#REF!+#REF!+0.44</f>
        <v>#REF!</v>
      </c>
      <c r="K447" s="8">
        <v>45216</v>
      </c>
    </row>
    <row r="448" spans="1:11" s="1" customFormat="1" ht="45" x14ac:dyDescent="0.2">
      <c r="A448" s="7">
        <v>223</v>
      </c>
      <c r="B448" s="38">
        <v>45230</v>
      </c>
      <c r="C448" s="9">
        <v>31777</v>
      </c>
      <c r="D448" s="9" t="s">
        <v>71</v>
      </c>
      <c r="E448" s="9" t="s">
        <v>2016</v>
      </c>
      <c r="F448" s="9" t="s">
        <v>45</v>
      </c>
      <c r="G448" s="54">
        <v>151602.5</v>
      </c>
      <c r="H448" s="54">
        <f>13644.23+13644.23</f>
        <v>27288.46</v>
      </c>
      <c r="I448" s="54">
        <f t="shared" si="14"/>
        <v>178890.96</v>
      </c>
      <c r="J448" s="58" t="e">
        <f>+#REF!+#REF!+#REF!+#REF!-0.96</f>
        <v>#REF!</v>
      </c>
      <c r="K448" s="8">
        <v>45219</v>
      </c>
    </row>
    <row r="449" spans="1:11" s="1" customFormat="1" ht="60" x14ac:dyDescent="0.2">
      <c r="A449" s="7">
        <v>225</v>
      </c>
      <c r="B449" s="38">
        <v>45253</v>
      </c>
      <c r="C449" s="9"/>
      <c r="D449" s="9" t="s">
        <v>71</v>
      </c>
      <c r="E449" s="9" t="s">
        <v>2048</v>
      </c>
      <c r="F449" s="9" t="s">
        <v>158</v>
      </c>
      <c r="G449" s="54">
        <v>37748</v>
      </c>
      <c r="H449" s="54">
        <v>0</v>
      </c>
      <c r="I449" s="54">
        <f t="shared" si="14"/>
        <v>37748</v>
      </c>
      <c r="J449" s="58" t="e">
        <f>+#REF!+#REF!+#REF!+#REF!</f>
        <v>#REF!</v>
      </c>
      <c r="K449" s="8">
        <v>45259</v>
      </c>
    </row>
    <row r="450" spans="1:11" s="1" customFormat="1" ht="90" x14ac:dyDescent="0.2">
      <c r="A450" s="7">
        <v>226</v>
      </c>
      <c r="B450" s="38">
        <v>45251</v>
      </c>
      <c r="C450" s="9" t="s">
        <v>2053</v>
      </c>
      <c r="D450" s="9" t="s">
        <v>71</v>
      </c>
      <c r="E450" s="9" t="s">
        <v>2054</v>
      </c>
      <c r="F450" s="9" t="s">
        <v>447</v>
      </c>
      <c r="G450" s="54">
        <v>30912</v>
      </c>
      <c r="H450" s="54">
        <f>2782+2782</f>
        <v>5564</v>
      </c>
      <c r="I450" s="54">
        <f t="shared" si="14"/>
        <v>36476</v>
      </c>
      <c r="J450" s="58" t="e">
        <f>+#REF!+#REF!+#REF!+#REF!</f>
        <v>#REF!</v>
      </c>
      <c r="K450" s="8"/>
    </row>
    <row r="451" spans="1:11" s="1" customFormat="1" ht="75" x14ac:dyDescent="0.2">
      <c r="A451" s="7">
        <v>227</v>
      </c>
      <c r="B451" s="38">
        <v>45265</v>
      </c>
      <c r="C451" s="9" t="s">
        <v>2105</v>
      </c>
      <c r="D451" s="9" t="s">
        <v>71</v>
      </c>
      <c r="E451" s="9" t="s">
        <v>2106</v>
      </c>
      <c r="F451" s="9" t="s">
        <v>145</v>
      </c>
      <c r="G451" s="54">
        <v>1000000</v>
      </c>
      <c r="H451" s="54">
        <f>90000+90000</f>
        <v>180000</v>
      </c>
      <c r="I451" s="54">
        <f t="shared" si="14"/>
        <v>1180000</v>
      </c>
      <c r="J451" s="58"/>
      <c r="K451" s="8"/>
    </row>
    <row r="452" spans="1:11" s="1" customFormat="1" ht="60" x14ac:dyDescent="0.2">
      <c r="A452" s="7">
        <v>228</v>
      </c>
      <c r="B452" s="38">
        <v>45266</v>
      </c>
      <c r="C452" s="9" t="s">
        <v>476</v>
      </c>
      <c r="D452" s="9" t="s">
        <v>71</v>
      </c>
      <c r="E452" s="9" t="s">
        <v>2107</v>
      </c>
      <c r="F452" s="9" t="s">
        <v>2108</v>
      </c>
      <c r="G452" s="54">
        <v>10000</v>
      </c>
      <c r="H452" s="54">
        <v>0</v>
      </c>
      <c r="I452" s="54">
        <f t="shared" si="14"/>
        <v>10000</v>
      </c>
      <c r="J452" s="58"/>
      <c r="K452" s="8"/>
    </row>
    <row r="453" spans="1:11" s="1" customFormat="1" ht="45" x14ac:dyDescent="0.2">
      <c r="A453" s="7">
        <v>229</v>
      </c>
      <c r="B453" s="38">
        <v>45274</v>
      </c>
      <c r="C453" s="9" t="s">
        <v>476</v>
      </c>
      <c r="D453" s="9" t="s">
        <v>71</v>
      </c>
      <c r="E453" s="9" t="s">
        <v>2109</v>
      </c>
      <c r="F453" s="9" t="s">
        <v>478</v>
      </c>
      <c r="G453" s="54">
        <v>9000</v>
      </c>
      <c r="H453" s="54">
        <v>0</v>
      </c>
      <c r="I453" s="54">
        <f t="shared" si="14"/>
        <v>9000</v>
      </c>
      <c r="J453" s="58"/>
      <c r="K453" s="8"/>
    </row>
    <row r="454" spans="1:11" s="1" customFormat="1" ht="105" x14ac:dyDescent="0.2">
      <c r="A454" s="7">
        <v>230</v>
      </c>
      <c r="B454" s="38">
        <v>45274</v>
      </c>
      <c r="C454" s="9" t="s">
        <v>2110</v>
      </c>
      <c r="D454" s="9" t="s">
        <v>71</v>
      </c>
      <c r="E454" s="9" t="s">
        <v>2111</v>
      </c>
      <c r="F454" s="9" t="s">
        <v>145</v>
      </c>
      <c r="G454" s="54">
        <v>670000</v>
      </c>
      <c r="H454" s="54">
        <f>60300+60300</f>
        <v>120600</v>
      </c>
      <c r="I454" s="54">
        <f t="shared" si="14"/>
        <v>790600</v>
      </c>
      <c r="J454" s="58"/>
      <c r="K454" s="8"/>
    </row>
    <row r="455" spans="1:11" s="1" customFormat="1" ht="45" x14ac:dyDescent="0.2">
      <c r="A455" s="7">
        <v>231</v>
      </c>
      <c r="B455" s="38">
        <v>45274</v>
      </c>
      <c r="C455" s="9" t="s">
        <v>2112</v>
      </c>
      <c r="D455" s="9" t="s">
        <v>71</v>
      </c>
      <c r="E455" s="9" t="s">
        <v>2113</v>
      </c>
      <c r="F455" s="9" t="s">
        <v>39</v>
      </c>
      <c r="G455" s="54">
        <v>25300</v>
      </c>
      <c r="H455" s="54">
        <f>2277+2277</f>
        <v>4554</v>
      </c>
      <c r="I455" s="54">
        <f t="shared" si="14"/>
        <v>29854</v>
      </c>
      <c r="J455" s="58"/>
      <c r="K455" s="8"/>
    </row>
    <row r="456" spans="1:11" s="1" customFormat="1" ht="90" x14ac:dyDescent="0.2">
      <c r="A456" s="7">
        <v>232</v>
      </c>
      <c r="B456" s="38">
        <v>45274</v>
      </c>
      <c r="C456" s="9" t="s">
        <v>2114</v>
      </c>
      <c r="D456" s="9" t="s">
        <v>71</v>
      </c>
      <c r="E456" s="9" t="s">
        <v>2115</v>
      </c>
      <c r="F456" s="9" t="s">
        <v>2116</v>
      </c>
      <c r="G456" s="54">
        <v>69150</v>
      </c>
      <c r="H456" s="54">
        <f>6224+6224</f>
        <v>12448</v>
      </c>
      <c r="I456" s="54">
        <f t="shared" si="14"/>
        <v>81598</v>
      </c>
      <c r="J456" s="58"/>
      <c r="K456" s="8"/>
    </row>
    <row r="457" spans="1:11" s="1" customFormat="1" ht="75" x14ac:dyDescent="0.2">
      <c r="A457" s="7">
        <v>233</v>
      </c>
      <c r="B457" s="38">
        <v>45280</v>
      </c>
      <c r="C457" s="9" t="s">
        <v>2069</v>
      </c>
      <c r="D457" s="9" t="s">
        <v>71</v>
      </c>
      <c r="E457" s="9" t="s">
        <v>2072</v>
      </c>
      <c r="F457" s="9" t="s">
        <v>39</v>
      </c>
      <c r="G457" s="54">
        <f>63173+318+4500</f>
        <v>67991</v>
      </c>
      <c r="H457" s="54">
        <f>6119.19+6119.19</f>
        <v>12238.38</v>
      </c>
      <c r="I457" s="54">
        <f t="shared" si="14"/>
        <v>80229.38</v>
      </c>
      <c r="J457" s="58"/>
      <c r="K457" s="8"/>
    </row>
    <row r="458" spans="1:11" s="1" customFormat="1" ht="60" x14ac:dyDescent="0.2">
      <c r="A458" s="7">
        <v>234</v>
      </c>
      <c r="B458" s="38">
        <v>45280</v>
      </c>
      <c r="C458" s="9" t="s">
        <v>2070</v>
      </c>
      <c r="D458" s="9" t="s">
        <v>71</v>
      </c>
      <c r="E458" s="9" t="s">
        <v>2071</v>
      </c>
      <c r="F458" s="9" t="s">
        <v>39</v>
      </c>
      <c r="G458" s="54">
        <f>36616.5+300</f>
        <v>36916.5</v>
      </c>
      <c r="H458" s="54">
        <f>3322.48+3322.48</f>
        <v>6644.96</v>
      </c>
      <c r="I458" s="54">
        <f t="shared" si="14"/>
        <v>43561.46</v>
      </c>
      <c r="J458" s="58" t="e">
        <f>+#REF!+#REF!+#REF!+#REF!-0.46</f>
        <v>#REF!</v>
      </c>
      <c r="K458" s="8">
        <v>45287</v>
      </c>
    </row>
    <row r="459" spans="1:11" s="1" customFormat="1" ht="45" x14ac:dyDescent="0.2">
      <c r="A459" s="7">
        <v>235</v>
      </c>
      <c r="B459" s="38">
        <v>45280</v>
      </c>
      <c r="C459" s="9" t="s">
        <v>476</v>
      </c>
      <c r="D459" s="9" t="s">
        <v>71</v>
      </c>
      <c r="E459" s="9" t="s">
        <v>2073</v>
      </c>
      <c r="F459" s="9" t="s">
        <v>2074</v>
      </c>
      <c r="G459" s="54">
        <v>4000</v>
      </c>
      <c r="H459" s="54">
        <v>0</v>
      </c>
      <c r="I459" s="54">
        <f t="shared" si="14"/>
        <v>4000</v>
      </c>
      <c r="J459" s="58"/>
      <c r="K459" s="58"/>
    </row>
    <row r="460" spans="1:11" s="1" customFormat="1" ht="45" x14ac:dyDescent="0.2">
      <c r="A460" s="7">
        <v>236</v>
      </c>
      <c r="B460" s="38">
        <v>45280</v>
      </c>
      <c r="C460" s="9" t="s">
        <v>476</v>
      </c>
      <c r="D460" s="9" t="s">
        <v>71</v>
      </c>
      <c r="E460" s="9" t="s">
        <v>2075</v>
      </c>
      <c r="F460" s="9" t="s">
        <v>476</v>
      </c>
      <c r="G460" s="54">
        <v>490</v>
      </c>
      <c r="H460" s="54">
        <v>0</v>
      </c>
      <c r="I460" s="54">
        <f t="shared" si="14"/>
        <v>490</v>
      </c>
      <c r="J460" s="58"/>
      <c r="K460" s="58"/>
    </row>
    <row r="461" spans="1:11" s="1" customFormat="1" ht="60" x14ac:dyDescent="0.2">
      <c r="A461" s="7">
        <v>237</v>
      </c>
      <c r="B461" s="38">
        <v>45282</v>
      </c>
      <c r="C461" s="9" t="s">
        <v>2076</v>
      </c>
      <c r="D461" s="9" t="s">
        <v>71</v>
      </c>
      <c r="E461" s="9" t="s">
        <v>2077</v>
      </c>
      <c r="F461" s="9" t="s">
        <v>39</v>
      </c>
      <c r="G461" s="54">
        <v>22875</v>
      </c>
      <c r="H461" s="54">
        <f>2059+2059</f>
        <v>4118</v>
      </c>
      <c r="I461" s="54">
        <f t="shared" si="14"/>
        <v>26993</v>
      </c>
      <c r="J461" s="58"/>
      <c r="K461" s="58"/>
    </row>
    <row r="462" spans="1:11" s="1" customFormat="1" ht="60" x14ac:dyDescent="0.2">
      <c r="A462" s="7">
        <v>238</v>
      </c>
      <c r="B462" s="38">
        <v>45284</v>
      </c>
      <c r="C462" s="9">
        <v>789</v>
      </c>
      <c r="D462" s="9" t="s">
        <v>71</v>
      </c>
      <c r="E462" s="9" t="s">
        <v>2078</v>
      </c>
      <c r="F462" s="9" t="s">
        <v>295</v>
      </c>
      <c r="G462" s="54">
        <v>22500</v>
      </c>
      <c r="H462" s="54">
        <v>0</v>
      </c>
      <c r="I462" s="54">
        <f t="shared" si="14"/>
        <v>22500</v>
      </c>
      <c r="J462" s="58" t="e">
        <f>+#REF!+#REF!+#REF!+#REF!</f>
        <v>#REF!</v>
      </c>
      <c r="K462" s="58" t="s">
        <v>2094</v>
      </c>
    </row>
    <row r="463" spans="1:11" s="1" customFormat="1" ht="60" x14ac:dyDescent="0.2">
      <c r="A463" s="7">
        <v>239</v>
      </c>
      <c r="B463" s="38">
        <v>45285</v>
      </c>
      <c r="C463" s="9" t="s">
        <v>2079</v>
      </c>
      <c r="D463" s="9" t="s">
        <v>71</v>
      </c>
      <c r="E463" s="9" t="s">
        <v>2080</v>
      </c>
      <c r="F463" s="9" t="s">
        <v>103</v>
      </c>
      <c r="G463" s="54">
        <v>109200</v>
      </c>
      <c r="H463" s="54">
        <f>9828+9828</f>
        <v>19656</v>
      </c>
      <c r="I463" s="54">
        <f t="shared" si="14"/>
        <v>128856</v>
      </c>
      <c r="J463" s="58" t="e">
        <f>+#REF!+#REF!+#REF!+#REF!</f>
        <v>#REF!</v>
      </c>
      <c r="K463" s="8">
        <v>45280</v>
      </c>
    </row>
    <row r="464" spans="1:11" s="1" customFormat="1" ht="105" x14ac:dyDescent="0.2">
      <c r="A464" s="7">
        <v>240</v>
      </c>
      <c r="B464" s="38">
        <v>45283</v>
      </c>
      <c r="C464" s="9" t="s">
        <v>2092</v>
      </c>
      <c r="D464" s="9" t="s">
        <v>71</v>
      </c>
      <c r="E464" s="9" t="s">
        <v>2093</v>
      </c>
      <c r="F464" s="9" t="s">
        <v>206</v>
      </c>
      <c r="G464" s="54">
        <v>6693</v>
      </c>
      <c r="H464" s="54">
        <f>602+602</f>
        <v>1204</v>
      </c>
      <c r="I464" s="54">
        <f t="shared" si="14"/>
        <v>7897</v>
      </c>
      <c r="J464" s="58"/>
      <c r="K464" s="8"/>
    </row>
    <row r="465" spans="1:11 16379:16379" s="1" customFormat="1" ht="60" x14ac:dyDescent="0.2">
      <c r="A465" s="7">
        <v>241</v>
      </c>
      <c r="B465" s="38">
        <v>45286</v>
      </c>
      <c r="C465" s="9" t="s">
        <v>2117</v>
      </c>
      <c r="D465" s="9" t="s">
        <v>71</v>
      </c>
      <c r="E465" s="9" t="s">
        <v>2118</v>
      </c>
      <c r="F465" s="9" t="s">
        <v>39</v>
      </c>
      <c r="G465" s="54">
        <v>42480.5</v>
      </c>
      <c r="H465" s="54">
        <f>3823+3823</f>
        <v>7646</v>
      </c>
      <c r="I465" s="54">
        <f t="shared" si="14"/>
        <v>50126.5</v>
      </c>
      <c r="J465" s="58"/>
      <c r="K465" s="8"/>
    </row>
    <row r="466" spans="1:11 16379:16379" s="1" customFormat="1" ht="60" x14ac:dyDescent="0.2">
      <c r="A466" s="7">
        <v>242</v>
      </c>
      <c r="B466" s="38">
        <v>45289</v>
      </c>
      <c r="C466" s="9" t="s">
        <v>2119</v>
      </c>
      <c r="D466" s="9" t="s">
        <v>71</v>
      </c>
      <c r="E466" s="9" t="s">
        <v>2120</v>
      </c>
      <c r="F466" s="9" t="s">
        <v>62</v>
      </c>
      <c r="G466" s="54">
        <v>84000</v>
      </c>
      <c r="H466" s="54">
        <v>15120</v>
      </c>
      <c r="I466" s="54">
        <f t="shared" si="14"/>
        <v>99120</v>
      </c>
      <c r="J466" s="58"/>
      <c r="K466" s="8">
        <v>45287</v>
      </c>
    </row>
    <row r="467" spans="1:11 16379:16379" s="1" customFormat="1" ht="240" x14ac:dyDescent="0.2">
      <c r="A467" s="7">
        <v>243</v>
      </c>
      <c r="B467" s="38">
        <v>45294</v>
      </c>
      <c r="C467" s="9" t="s">
        <v>2121</v>
      </c>
      <c r="D467" s="9" t="s">
        <v>71</v>
      </c>
      <c r="E467" s="9" t="s">
        <v>2122</v>
      </c>
      <c r="F467" s="9" t="s">
        <v>1645</v>
      </c>
      <c r="G467" s="54">
        <v>1468190.15</v>
      </c>
      <c r="H467" s="54">
        <f>132137+132137</f>
        <v>264274</v>
      </c>
      <c r="I467" s="54">
        <f t="shared" si="14"/>
        <v>1732464.15</v>
      </c>
      <c r="J467" s="58"/>
      <c r="K467" s="8"/>
    </row>
    <row r="468" spans="1:11 16379:16379" s="1" customFormat="1" ht="120" x14ac:dyDescent="0.2">
      <c r="A468" s="7">
        <v>244</v>
      </c>
      <c r="B468" s="38">
        <v>45303</v>
      </c>
      <c r="C468" s="9" t="s">
        <v>2123</v>
      </c>
      <c r="D468" s="9" t="s">
        <v>71</v>
      </c>
      <c r="E468" s="9" t="s">
        <v>2124</v>
      </c>
      <c r="F468" s="9" t="s">
        <v>145</v>
      </c>
      <c r="G468" s="54">
        <v>295800</v>
      </c>
      <c r="H468" s="54">
        <f>26622+26622</f>
        <v>53244</v>
      </c>
      <c r="I468" s="54">
        <f t="shared" si="14"/>
        <v>349044</v>
      </c>
      <c r="J468" s="58"/>
      <c r="K468" s="8"/>
    </row>
    <row r="469" spans="1:11 16379:16379" s="1" customFormat="1" ht="90" x14ac:dyDescent="0.2">
      <c r="A469" s="7">
        <v>245</v>
      </c>
      <c r="B469" s="38">
        <v>45303</v>
      </c>
      <c r="C469" s="9" t="s">
        <v>2156</v>
      </c>
      <c r="D469" s="9" t="s">
        <v>71</v>
      </c>
      <c r="E469" s="9" t="s">
        <v>2157</v>
      </c>
      <c r="F469" s="9" t="s">
        <v>145</v>
      </c>
      <c r="G469" s="54">
        <v>850000</v>
      </c>
      <c r="H469" s="54">
        <f>76500+76500</f>
        <v>153000</v>
      </c>
      <c r="I469" s="54">
        <f t="shared" si="14"/>
        <v>1003000</v>
      </c>
      <c r="J469" s="58"/>
      <c r="K469" s="8"/>
    </row>
    <row r="470" spans="1:11 16379:16379" s="1" customFormat="1" ht="135" x14ac:dyDescent="0.2">
      <c r="A470" s="7">
        <v>246</v>
      </c>
      <c r="B470" s="38">
        <v>45303</v>
      </c>
      <c r="C470" s="9" t="s">
        <v>2158</v>
      </c>
      <c r="D470" s="9" t="s">
        <v>71</v>
      </c>
      <c r="E470" s="9" t="s">
        <v>2159</v>
      </c>
      <c r="F470" s="9" t="s">
        <v>145</v>
      </c>
      <c r="G470" s="54">
        <v>295500</v>
      </c>
      <c r="H470" s="54">
        <f>26595+26595</f>
        <v>53190</v>
      </c>
      <c r="I470" s="54">
        <f t="shared" si="14"/>
        <v>348690</v>
      </c>
      <c r="J470" s="58"/>
      <c r="K470" s="8"/>
    </row>
    <row r="471" spans="1:11 16379:16379" s="1" customFormat="1" ht="60" x14ac:dyDescent="0.2">
      <c r="A471" s="7">
        <v>247</v>
      </c>
      <c r="B471" s="38">
        <v>45303</v>
      </c>
      <c r="C471" s="9" t="s">
        <v>2160</v>
      </c>
      <c r="D471" s="9" t="s">
        <v>71</v>
      </c>
      <c r="E471" s="9" t="s">
        <v>2161</v>
      </c>
      <c r="F471" s="9" t="s">
        <v>145</v>
      </c>
      <c r="G471" s="54">
        <v>110000</v>
      </c>
      <c r="H471" s="54">
        <f>9900+9900</f>
        <v>19800</v>
      </c>
      <c r="I471" s="54">
        <f t="shared" si="14"/>
        <v>129800</v>
      </c>
      <c r="J471" s="58"/>
      <c r="K471" s="8"/>
    </row>
    <row r="472" spans="1:11 16379:16379" s="1" customFormat="1" ht="90" x14ac:dyDescent="0.2">
      <c r="A472" s="7">
        <v>248</v>
      </c>
      <c r="B472" s="38">
        <v>45311</v>
      </c>
      <c r="C472" s="9" t="s">
        <v>2176</v>
      </c>
      <c r="D472" s="9" t="s">
        <v>71</v>
      </c>
      <c r="E472" s="9" t="s">
        <v>2177</v>
      </c>
      <c r="F472" s="9" t="s">
        <v>2178</v>
      </c>
      <c r="G472" s="54">
        <v>68225</v>
      </c>
      <c r="H472" s="54">
        <f>6140+6140</f>
        <v>12280</v>
      </c>
      <c r="I472" s="54">
        <f t="shared" si="14"/>
        <v>80505</v>
      </c>
      <c r="J472" s="58"/>
      <c r="K472" s="8"/>
    </row>
    <row r="473" spans="1:11 16379:16379" s="1" customFormat="1" ht="90" x14ac:dyDescent="0.2">
      <c r="A473" s="7">
        <v>248</v>
      </c>
      <c r="B473" s="38">
        <v>45323</v>
      </c>
      <c r="C473" s="9" t="s">
        <v>2181</v>
      </c>
      <c r="D473" s="9" t="s">
        <v>71</v>
      </c>
      <c r="E473" s="9" t="s">
        <v>2182</v>
      </c>
      <c r="F473" s="9" t="s">
        <v>145</v>
      </c>
      <c r="G473" s="54">
        <v>545615</v>
      </c>
      <c r="H473" s="54">
        <f>49105+49105</f>
        <v>98210</v>
      </c>
      <c r="I473" s="54">
        <f t="shared" si="14"/>
        <v>643825</v>
      </c>
      <c r="J473" s="58"/>
      <c r="K473" s="8"/>
    </row>
    <row r="474" spans="1:11 16379:16379" s="1" customFormat="1" ht="45" x14ac:dyDescent="0.2">
      <c r="A474" s="7">
        <v>249</v>
      </c>
      <c r="B474" s="38">
        <v>45323</v>
      </c>
      <c r="C474" s="9" t="s">
        <v>2183</v>
      </c>
      <c r="D474" s="9" t="s">
        <v>71</v>
      </c>
      <c r="E474" s="9" t="s">
        <v>2184</v>
      </c>
      <c r="F474" s="9" t="s">
        <v>151</v>
      </c>
      <c r="G474" s="54">
        <v>197988</v>
      </c>
      <c r="H474" s="54">
        <f>17819+17819</f>
        <v>35638</v>
      </c>
      <c r="I474" s="54">
        <f t="shared" si="14"/>
        <v>233626</v>
      </c>
      <c r="J474" s="58"/>
      <c r="K474" s="8"/>
    </row>
    <row r="475" spans="1:11 16379:16379" s="21" customFormat="1" ht="15.75" x14ac:dyDescent="0.25">
      <c r="A475" s="18"/>
      <c r="B475" s="19"/>
      <c r="C475" s="20"/>
      <c r="D475" s="20"/>
      <c r="E475" s="20"/>
      <c r="F475" s="27" t="s">
        <v>593</v>
      </c>
      <c r="G475" s="24">
        <f t="shared" ref="G475:I475" si="15">SUM(G230:G474)</f>
        <v>27070885.659999996</v>
      </c>
      <c r="H475" s="24">
        <f t="shared" si="15"/>
        <v>4739911.96</v>
      </c>
      <c r="I475" s="24">
        <f t="shared" si="15"/>
        <v>31810797.620000001</v>
      </c>
      <c r="J475" s="24" t="e">
        <f>SUM(J230:J458)</f>
        <v>#REF!</v>
      </c>
      <c r="K475" s="58"/>
      <c r="XEY475" s="24"/>
    </row>
    <row r="476" spans="1:11 16379:16379" s="1" customFormat="1" ht="15.75" x14ac:dyDescent="0.2">
      <c r="A476" s="7"/>
      <c r="B476" s="8"/>
      <c r="C476" s="12"/>
      <c r="D476" s="12"/>
      <c r="E476" s="30" t="s">
        <v>235</v>
      </c>
      <c r="F476" s="9"/>
      <c r="G476" s="10"/>
      <c r="H476" s="11"/>
      <c r="I476" s="11"/>
      <c r="J476" s="58" t="e">
        <f>+#REF!+#REF!+#REF!+#REF!</f>
        <v>#REF!</v>
      </c>
      <c r="K476" s="58"/>
    </row>
    <row r="477" spans="1:11 16379:16379" s="1" customFormat="1" ht="45" x14ac:dyDescent="0.2">
      <c r="A477" s="7">
        <v>1</v>
      </c>
      <c r="B477" s="38">
        <v>44734</v>
      </c>
      <c r="C477" s="9">
        <v>111</v>
      </c>
      <c r="D477" s="9" t="s">
        <v>235</v>
      </c>
      <c r="E477" s="9" t="s">
        <v>236</v>
      </c>
      <c r="F477" s="9" t="s">
        <v>295</v>
      </c>
      <c r="G477" s="54">
        <v>5900</v>
      </c>
      <c r="H477" s="54">
        <v>0</v>
      </c>
      <c r="I477" s="54">
        <f t="shared" ref="I477:I507" si="16">+G477+H477</f>
        <v>5900</v>
      </c>
      <c r="J477" s="58" t="e">
        <f>+#REF!+#REF!+#REF!+#REF!</f>
        <v>#REF!</v>
      </c>
      <c r="K477" s="8">
        <v>44734</v>
      </c>
    </row>
    <row r="478" spans="1:11 16379:16379" s="1" customFormat="1" ht="60" x14ac:dyDescent="0.2">
      <c r="A478" s="7">
        <v>2</v>
      </c>
      <c r="B478" s="38">
        <v>44824</v>
      </c>
      <c r="C478" s="9" t="s">
        <v>963</v>
      </c>
      <c r="D478" s="9" t="s">
        <v>235</v>
      </c>
      <c r="E478" s="9" t="s">
        <v>964</v>
      </c>
      <c r="F478" s="9" t="s">
        <v>206</v>
      </c>
      <c r="G478" s="54">
        <v>1395</v>
      </c>
      <c r="H478" s="54">
        <f>126+126</f>
        <v>252</v>
      </c>
      <c r="I478" s="54">
        <f t="shared" si="16"/>
        <v>1647</v>
      </c>
      <c r="J478" s="58" t="e">
        <f>+#REF!+#REF!+#REF!+#REF!</f>
        <v>#REF!</v>
      </c>
      <c r="K478" s="8">
        <v>44854</v>
      </c>
    </row>
    <row r="479" spans="1:11 16379:16379" s="1" customFormat="1" ht="45" x14ac:dyDescent="0.2">
      <c r="A479" s="7">
        <v>3</v>
      </c>
      <c r="B479" s="38">
        <v>44824</v>
      </c>
      <c r="C479" s="9" t="s">
        <v>965</v>
      </c>
      <c r="D479" s="9" t="s">
        <v>235</v>
      </c>
      <c r="E479" s="9" t="s">
        <v>966</v>
      </c>
      <c r="F479" s="9" t="s">
        <v>206</v>
      </c>
      <c r="G479" s="54">
        <v>2750</v>
      </c>
      <c r="H479" s="54">
        <f>248+248</f>
        <v>496</v>
      </c>
      <c r="I479" s="54">
        <f t="shared" si="16"/>
        <v>3246</v>
      </c>
      <c r="J479" s="58" t="e">
        <f>+#REF!+#REF!+#REF!+#REF!</f>
        <v>#REF!</v>
      </c>
      <c r="K479" s="8">
        <v>44854</v>
      </c>
    </row>
    <row r="480" spans="1:11 16379:16379" s="1" customFormat="1" ht="45" x14ac:dyDescent="0.2">
      <c r="A480" s="7">
        <v>4</v>
      </c>
      <c r="B480" s="38">
        <v>44838</v>
      </c>
      <c r="C480" s="9" t="s">
        <v>237</v>
      </c>
      <c r="D480" s="9" t="s">
        <v>235</v>
      </c>
      <c r="E480" s="9" t="s">
        <v>235</v>
      </c>
      <c r="F480" s="9" t="s">
        <v>238</v>
      </c>
      <c r="G480" s="54">
        <v>3200000</v>
      </c>
      <c r="H480" s="54">
        <f>288000*2</f>
        <v>576000</v>
      </c>
      <c r="I480" s="54">
        <f t="shared" si="16"/>
        <v>3776000</v>
      </c>
      <c r="J480" s="58" t="e">
        <f>+#REF!+#REF!+#REF!+#REF!</f>
        <v>#REF!</v>
      </c>
      <c r="K480" s="58" t="s">
        <v>2026</v>
      </c>
    </row>
    <row r="481" spans="1:11" s="1" customFormat="1" ht="90" x14ac:dyDescent="0.2">
      <c r="A481" s="7">
        <v>5</v>
      </c>
      <c r="B481" s="38">
        <v>44855</v>
      </c>
      <c r="C481" s="9" t="s">
        <v>968</v>
      </c>
      <c r="D481" s="9" t="s">
        <v>235</v>
      </c>
      <c r="E481" s="9" t="s">
        <v>969</v>
      </c>
      <c r="F481" s="9" t="s">
        <v>441</v>
      </c>
      <c r="G481" s="54">
        <v>21251.7</v>
      </c>
      <c r="H481" s="54">
        <f>1913+1913</f>
        <v>3826</v>
      </c>
      <c r="I481" s="54">
        <f t="shared" si="16"/>
        <v>25077.7</v>
      </c>
      <c r="J481" s="58" t="e">
        <f>+#REF!+#REF!+#REF!+#REF!-0.7</f>
        <v>#REF!</v>
      </c>
      <c r="K481" s="8">
        <v>44881</v>
      </c>
    </row>
    <row r="482" spans="1:11" s="1" customFormat="1" ht="75" x14ac:dyDescent="0.2">
      <c r="A482" s="7">
        <v>6</v>
      </c>
      <c r="B482" s="38">
        <v>44855</v>
      </c>
      <c r="C482" s="9" t="s">
        <v>970</v>
      </c>
      <c r="D482" s="9" t="s">
        <v>235</v>
      </c>
      <c r="E482" s="9" t="s">
        <v>971</v>
      </c>
      <c r="F482" s="9" t="s">
        <v>441</v>
      </c>
      <c r="G482" s="54">
        <v>6267.9</v>
      </c>
      <c r="H482" s="54">
        <f>564+564</f>
        <v>1128</v>
      </c>
      <c r="I482" s="54">
        <f t="shared" si="16"/>
        <v>7395.9</v>
      </c>
      <c r="J482" s="58" t="e">
        <f>+#REF!+#REF!+#REF!+#REF!+0.1</f>
        <v>#REF!</v>
      </c>
      <c r="K482" s="8">
        <v>44881</v>
      </c>
    </row>
    <row r="483" spans="1:11" s="1" customFormat="1" ht="45" x14ac:dyDescent="0.2">
      <c r="A483" s="7">
        <v>7</v>
      </c>
      <c r="B483" s="38">
        <v>44856</v>
      </c>
      <c r="C483" s="9" t="s">
        <v>245</v>
      </c>
      <c r="D483" s="9" t="s">
        <v>235</v>
      </c>
      <c r="E483" s="9" t="s">
        <v>246</v>
      </c>
      <c r="F483" s="9" t="s">
        <v>247</v>
      </c>
      <c r="G483" s="54">
        <v>62322</v>
      </c>
      <c r="H483" s="54">
        <f>5609*2</f>
        <v>11218</v>
      </c>
      <c r="I483" s="54">
        <f t="shared" si="16"/>
        <v>73540</v>
      </c>
      <c r="J483" s="58" t="e">
        <f>+#REF!+#REF!+#REF!+#REF!</f>
        <v>#REF!</v>
      </c>
      <c r="K483" s="8">
        <v>44875</v>
      </c>
    </row>
    <row r="484" spans="1:11" s="1" customFormat="1" ht="45" x14ac:dyDescent="0.2">
      <c r="A484" s="7">
        <v>8</v>
      </c>
      <c r="B484" s="38">
        <v>44865</v>
      </c>
      <c r="C484" s="9">
        <v>260</v>
      </c>
      <c r="D484" s="9" t="s">
        <v>235</v>
      </c>
      <c r="E484" s="9" t="s">
        <v>248</v>
      </c>
      <c r="F484" s="9" t="s">
        <v>249</v>
      </c>
      <c r="G484" s="54">
        <v>18000</v>
      </c>
      <c r="H484" s="54">
        <v>0</v>
      </c>
      <c r="I484" s="54">
        <f t="shared" si="16"/>
        <v>18000</v>
      </c>
      <c r="J484" s="58" t="e">
        <f>+#REF!+#REF!+#REF!+#REF!</f>
        <v>#REF!</v>
      </c>
      <c r="K484" s="8">
        <v>44868</v>
      </c>
    </row>
    <row r="485" spans="1:11" s="1" customFormat="1" ht="105" x14ac:dyDescent="0.2">
      <c r="A485" s="7">
        <v>9</v>
      </c>
      <c r="B485" s="38">
        <v>44869</v>
      </c>
      <c r="C485" s="9">
        <v>63552</v>
      </c>
      <c r="D485" s="9" t="s">
        <v>235</v>
      </c>
      <c r="E485" s="9" t="s">
        <v>417</v>
      </c>
      <c r="F485" s="9" t="s">
        <v>208</v>
      </c>
      <c r="G485" s="54">
        <v>70111.649999999994</v>
      </c>
      <c r="H485" s="54">
        <f>6310*2</f>
        <v>12620</v>
      </c>
      <c r="I485" s="54">
        <f t="shared" si="16"/>
        <v>82731.649999999994</v>
      </c>
      <c r="J485" s="58" t="e">
        <f>+#REF!+#REF!+#REF!+#REF!+0.35</f>
        <v>#REF!</v>
      </c>
      <c r="K485" s="8">
        <v>44895</v>
      </c>
    </row>
    <row r="486" spans="1:11" s="1" customFormat="1" ht="45" x14ac:dyDescent="0.2">
      <c r="A486" s="7">
        <v>10</v>
      </c>
      <c r="B486" s="38">
        <v>44877</v>
      </c>
      <c r="C486" s="9"/>
      <c r="D486" s="9" t="s">
        <v>235</v>
      </c>
      <c r="E486" s="9" t="s">
        <v>424</v>
      </c>
      <c r="F486" s="9" t="s">
        <v>295</v>
      </c>
      <c r="G486" s="54">
        <v>15000</v>
      </c>
      <c r="H486" s="54">
        <v>0</v>
      </c>
      <c r="I486" s="54">
        <f t="shared" si="16"/>
        <v>15000</v>
      </c>
      <c r="J486" s="58" t="e">
        <f>+#REF!+#REF!+#REF!+#REF!</f>
        <v>#REF!</v>
      </c>
      <c r="K486" s="8">
        <v>44877</v>
      </c>
    </row>
    <row r="487" spans="1:11" s="1" customFormat="1" ht="90" x14ac:dyDescent="0.2">
      <c r="A487" s="7">
        <v>11</v>
      </c>
      <c r="B487" s="38">
        <v>44881</v>
      </c>
      <c r="C487" s="9" t="s">
        <v>433</v>
      </c>
      <c r="D487" s="9" t="s">
        <v>235</v>
      </c>
      <c r="E487" s="9" t="s">
        <v>435</v>
      </c>
      <c r="F487" s="9" t="s">
        <v>434</v>
      </c>
      <c r="G487" s="54">
        <v>7080</v>
      </c>
      <c r="H487" s="54">
        <f>637*2</f>
        <v>1274</v>
      </c>
      <c r="I487" s="54">
        <f t="shared" si="16"/>
        <v>8354</v>
      </c>
      <c r="J487" s="58" t="e">
        <f>+#REF!+#REF!+#REF!+#REF!</f>
        <v>#REF!</v>
      </c>
      <c r="K487" s="8">
        <v>44895</v>
      </c>
    </row>
    <row r="488" spans="1:11" s="1" customFormat="1" ht="45" x14ac:dyDescent="0.2">
      <c r="A488" s="7">
        <v>12</v>
      </c>
      <c r="B488" s="38">
        <v>44884</v>
      </c>
      <c r="C488" s="9" t="s">
        <v>444</v>
      </c>
      <c r="D488" s="9" t="s">
        <v>235</v>
      </c>
      <c r="E488" s="9" t="s">
        <v>445</v>
      </c>
      <c r="F488" s="9" t="s">
        <v>441</v>
      </c>
      <c r="G488" s="54">
        <v>10783</v>
      </c>
      <c r="H488" s="54">
        <f>970*2</f>
        <v>1940</v>
      </c>
      <c r="I488" s="54">
        <f t="shared" si="16"/>
        <v>12723</v>
      </c>
      <c r="J488" s="58" t="e">
        <f>+#REF!+#REF!+#REF!+#REF!+1</f>
        <v>#REF!</v>
      </c>
      <c r="K488" s="8">
        <v>44895</v>
      </c>
    </row>
    <row r="489" spans="1:11" s="1" customFormat="1" ht="90" x14ac:dyDescent="0.2">
      <c r="A489" s="7">
        <v>13</v>
      </c>
      <c r="B489" s="38">
        <v>44886</v>
      </c>
      <c r="C489" s="9" t="s">
        <v>453</v>
      </c>
      <c r="D489" s="9" t="s">
        <v>235</v>
      </c>
      <c r="E489" s="9" t="s">
        <v>454</v>
      </c>
      <c r="F489" s="9" t="s">
        <v>447</v>
      </c>
      <c r="G489" s="54">
        <v>3203.2</v>
      </c>
      <c r="H489" s="54">
        <f>288*2</f>
        <v>576</v>
      </c>
      <c r="I489" s="54">
        <f t="shared" si="16"/>
        <v>3779.2</v>
      </c>
      <c r="J489" s="58" t="e">
        <f>+#REF!+#REF!+#REF!+#REF!+0.8</f>
        <v>#REF!</v>
      </c>
      <c r="K489" s="8">
        <v>44895</v>
      </c>
    </row>
    <row r="490" spans="1:11" s="1" customFormat="1" ht="45" x14ac:dyDescent="0.2">
      <c r="A490" s="7">
        <v>14</v>
      </c>
      <c r="B490" s="38">
        <v>44893</v>
      </c>
      <c r="C490" s="9" t="s">
        <v>483</v>
      </c>
      <c r="D490" s="9" t="s">
        <v>235</v>
      </c>
      <c r="E490" s="9" t="s">
        <v>484</v>
      </c>
      <c r="F490" s="9" t="s">
        <v>32</v>
      </c>
      <c r="G490" s="54">
        <v>50932</v>
      </c>
      <c r="H490" s="54">
        <f>4584*2</f>
        <v>9168</v>
      </c>
      <c r="I490" s="54">
        <f t="shared" si="16"/>
        <v>60100</v>
      </c>
      <c r="J490" s="58" t="e">
        <f>+#REF!+#REF!+#REF!+#REF!</f>
        <v>#REF!</v>
      </c>
      <c r="K490" s="8">
        <v>44876</v>
      </c>
    </row>
    <row r="491" spans="1:11" s="1" customFormat="1" ht="45" x14ac:dyDescent="0.2">
      <c r="A491" s="7">
        <v>15</v>
      </c>
      <c r="B491" s="38">
        <v>44894</v>
      </c>
      <c r="C491" s="9"/>
      <c r="D491" s="9" t="s">
        <v>235</v>
      </c>
      <c r="E491" s="9" t="s">
        <v>485</v>
      </c>
      <c r="F491" s="9" t="s">
        <v>158</v>
      </c>
      <c r="G491" s="54">
        <v>2100</v>
      </c>
      <c r="H491" s="54">
        <v>0</v>
      </c>
      <c r="I491" s="54">
        <f t="shared" si="16"/>
        <v>2100</v>
      </c>
      <c r="J491" s="58" t="e">
        <f>+#REF!+#REF!+#REF!+#REF!</f>
        <v>#REF!</v>
      </c>
      <c r="K491" s="8">
        <v>44894</v>
      </c>
    </row>
    <row r="492" spans="1:11" s="1" customFormat="1" ht="45" x14ac:dyDescent="0.2">
      <c r="A492" s="7">
        <v>16</v>
      </c>
      <c r="B492" s="38">
        <v>44894</v>
      </c>
      <c r="C492" s="9" t="s">
        <v>476</v>
      </c>
      <c r="D492" s="9" t="s">
        <v>235</v>
      </c>
      <c r="E492" s="9" t="s">
        <v>486</v>
      </c>
      <c r="F492" s="9" t="s">
        <v>487</v>
      </c>
      <c r="G492" s="54">
        <v>1100</v>
      </c>
      <c r="H492" s="54">
        <v>0</v>
      </c>
      <c r="I492" s="54">
        <f t="shared" si="16"/>
        <v>1100</v>
      </c>
      <c r="J492" s="58" t="e">
        <f>+#REF!+#REF!+#REF!+#REF!</f>
        <v>#REF!</v>
      </c>
      <c r="K492" s="38">
        <v>44894</v>
      </c>
    </row>
    <row r="493" spans="1:11" s="1" customFormat="1" ht="45" x14ac:dyDescent="0.2">
      <c r="A493" s="7">
        <v>17</v>
      </c>
      <c r="B493" s="38">
        <v>44894</v>
      </c>
      <c r="C493" s="9" t="s">
        <v>488</v>
      </c>
      <c r="D493" s="9" t="s">
        <v>235</v>
      </c>
      <c r="E493" s="9" t="s">
        <v>489</v>
      </c>
      <c r="F493" s="9" t="s">
        <v>151</v>
      </c>
      <c r="G493" s="54">
        <v>8190</v>
      </c>
      <c r="H493" s="54">
        <f>737*2</f>
        <v>1474</v>
      </c>
      <c r="I493" s="54">
        <f t="shared" si="16"/>
        <v>9664</v>
      </c>
      <c r="J493" s="58" t="e">
        <f>+#REF!+#REF!+#REF!+#REF!</f>
        <v>#REF!</v>
      </c>
      <c r="K493" s="8">
        <v>44908</v>
      </c>
    </row>
    <row r="494" spans="1:11" s="1" customFormat="1" ht="45" x14ac:dyDescent="0.2">
      <c r="A494" s="7">
        <v>18</v>
      </c>
      <c r="B494" s="38">
        <v>44868</v>
      </c>
      <c r="C494" s="9" t="s">
        <v>476</v>
      </c>
      <c r="D494" s="9" t="s">
        <v>235</v>
      </c>
      <c r="E494" s="9" t="s">
        <v>529</v>
      </c>
      <c r="F494" s="9" t="s">
        <v>528</v>
      </c>
      <c r="G494" s="54">
        <v>5500</v>
      </c>
      <c r="H494" s="54">
        <v>0</v>
      </c>
      <c r="I494" s="54">
        <f t="shared" si="16"/>
        <v>5500</v>
      </c>
      <c r="J494" s="58" t="e">
        <f>+#REF!+#REF!+#REF!+#REF!</f>
        <v>#REF!</v>
      </c>
      <c r="K494" s="38">
        <v>44868</v>
      </c>
    </row>
    <row r="495" spans="1:11" s="1" customFormat="1" ht="60" x14ac:dyDescent="0.2">
      <c r="A495" s="7">
        <v>20</v>
      </c>
      <c r="B495" s="38">
        <v>44877</v>
      </c>
      <c r="C495" s="9" t="s">
        <v>423</v>
      </c>
      <c r="D495" s="9" t="s">
        <v>235</v>
      </c>
      <c r="E495" s="9" t="s">
        <v>543</v>
      </c>
      <c r="F495" s="9" t="s">
        <v>145</v>
      </c>
      <c r="G495" s="54">
        <v>97656</v>
      </c>
      <c r="H495" s="54">
        <f>8789*2</f>
        <v>17578</v>
      </c>
      <c r="I495" s="54">
        <f t="shared" si="16"/>
        <v>115234</v>
      </c>
      <c r="J495" s="58" t="e">
        <f>+#REF!+#REF!+#REF!+#REF!</f>
        <v>#REF!</v>
      </c>
      <c r="K495" s="8" t="s">
        <v>1994</v>
      </c>
    </row>
    <row r="496" spans="1:11" s="1" customFormat="1" ht="60" x14ac:dyDescent="0.2">
      <c r="A496" s="7">
        <v>21</v>
      </c>
      <c r="B496" s="38">
        <v>44895</v>
      </c>
      <c r="C496" s="9">
        <v>64089</v>
      </c>
      <c r="D496" s="9" t="s">
        <v>235</v>
      </c>
      <c r="E496" s="9" t="s">
        <v>495</v>
      </c>
      <c r="F496" s="9" t="s">
        <v>208</v>
      </c>
      <c r="G496" s="54">
        <v>14493.6</v>
      </c>
      <c r="H496" s="54">
        <f>1304*2</f>
        <v>2608</v>
      </c>
      <c r="I496" s="54">
        <f t="shared" si="16"/>
        <v>17101.599999999999</v>
      </c>
      <c r="J496" s="58" t="e">
        <f>+#REF!+#REF!+#REF!+#REF!</f>
        <v>#REF!</v>
      </c>
      <c r="K496" s="8">
        <v>44908</v>
      </c>
    </row>
    <row r="497" spans="1:11" s="1" customFormat="1" ht="60" x14ac:dyDescent="0.2">
      <c r="A497" s="7">
        <v>22</v>
      </c>
      <c r="B497" s="38">
        <v>44895</v>
      </c>
      <c r="C497" s="9" t="s">
        <v>490</v>
      </c>
      <c r="D497" s="9" t="s">
        <v>235</v>
      </c>
      <c r="E497" s="9" t="s">
        <v>491</v>
      </c>
      <c r="F497" s="9" t="s">
        <v>288</v>
      </c>
      <c r="G497" s="54">
        <v>299460</v>
      </c>
      <c r="H497" s="54">
        <f>26951*2</f>
        <v>53902</v>
      </c>
      <c r="I497" s="54">
        <f t="shared" si="16"/>
        <v>353362</v>
      </c>
      <c r="J497" s="58" t="e">
        <f>+#REF!+#REF!+#REF!+#REF!</f>
        <v>#REF!</v>
      </c>
      <c r="K497" s="8" t="s">
        <v>1942</v>
      </c>
    </row>
    <row r="498" spans="1:11" s="1" customFormat="1" ht="60" x14ac:dyDescent="0.2">
      <c r="A498" s="7">
        <v>23</v>
      </c>
      <c r="B498" s="38">
        <v>44895</v>
      </c>
      <c r="C498" s="9" t="s">
        <v>492</v>
      </c>
      <c r="D498" s="9" t="s">
        <v>235</v>
      </c>
      <c r="E498" s="9" t="s">
        <v>493</v>
      </c>
      <c r="F498" s="9" t="s">
        <v>288</v>
      </c>
      <c r="G498" s="54">
        <v>460713</v>
      </c>
      <c r="H498" s="54">
        <f>41464*2</f>
        <v>82928</v>
      </c>
      <c r="I498" s="54">
        <f t="shared" si="16"/>
        <v>543641</v>
      </c>
      <c r="J498" s="58" t="e">
        <f>+#REF!+#REF!+#REF!+#REF!+1</f>
        <v>#REF!</v>
      </c>
      <c r="K498" s="8" t="s">
        <v>1943</v>
      </c>
    </row>
    <row r="499" spans="1:11" s="1" customFormat="1" ht="45" x14ac:dyDescent="0.2">
      <c r="A499" s="7">
        <v>24</v>
      </c>
      <c r="B499" s="38">
        <v>44841</v>
      </c>
      <c r="C499" s="9" t="s">
        <v>349</v>
      </c>
      <c r="D499" s="9" t="s">
        <v>235</v>
      </c>
      <c r="E499" s="9" t="s">
        <v>350</v>
      </c>
      <c r="F499" s="9" t="s">
        <v>295</v>
      </c>
      <c r="G499" s="54">
        <v>2400</v>
      </c>
      <c r="H499" s="54">
        <v>0</v>
      </c>
      <c r="I499" s="54">
        <f t="shared" si="16"/>
        <v>2400</v>
      </c>
      <c r="J499" s="58" t="e">
        <f>+#REF!+#REF!+#REF!+#REF!</f>
        <v>#REF!</v>
      </c>
      <c r="K499" s="8">
        <v>44841</v>
      </c>
    </row>
    <row r="500" spans="1:11" s="1" customFormat="1" ht="45" x14ac:dyDescent="0.2">
      <c r="A500" s="7">
        <v>25</v>
      </c>
      <c r="B500" s="38">
        <v>44868</v>
      </c>
      <c r="C500" s="9" t="s">
        <v>476</v>
      </c>
      <c r="D500" s="9" t="s">
        <v>235</v>
      </c>
      <c r="E500" s="9" t="s">
        <v>532</v>
      </c>
      <c r="F500" s="9" t="s">
        <v>665</v>
      </c>
      <c r="G500" s="54">
        <v>135</v>
      </c>
      <c r="H500" s="54">
        <v>0</v>
      </c>
      <c r="I500" s="54">
        <f t="shared" si="16"/>
        <v>135</v>
      </c>
      <c r="J500" s="58" t="e">
        <f>+#REF!+#REF!+#REF!+#REF!</f>
        <v>#REF!</v>
      </c>
      <c r="K500" s="8">
        <v>44868</v>
      </c>
    </row>
    <row r="501" spans="1:11" s="1" customFormat="1" ht="45" x14ac:dyDescent="0.2">
      <c r="A501" s="7">
        <v>26</v>
      </c>
      <c r="B501" s="38">
        <v>44869</v>
      </c>
      <c r="C501" s="9" t="s">
        <v>476</v>
      </c>
      <c r="D501" s="9" t="s">
        <v>235</v>
      </c>
      <c r="E501" s="9" t="s">
        <v>533</v>
      </c>
      <c r="F501" s="9" t="s">
        <v>612</v>
      </c>
      <c r="G501" s="54">
        <v>300</v>
      </c>
      <c r="H501" s="54">
        <v>0</v>
      </c>
      <c r="I501" s="54">
        <f t="shared" si="16"/>
        <v>300</v>
      </c>
      <c r="J501" s="58" t="e">
        <f>+#REF!+#REF!+#REF!+#REF!</f>
        <v>#REF!</v>
      </c>
      <c r="K501" s="38">
        <v>44869</v>
      </c>
    </row>
    <row r="502" spans="1:11" s="1" customFormat="1" ht="45" x14ac:dyDescent="0.2">
      <c r="A502" s="7">
        <v>27</v>
      </c>
      <c r="B502" s="38">
        <v>44888</v>
      </c>
      <c r="C502" s="9" t="s">
        <v>460</v>
      </c>
      <c r="D502" s="9" t="s">
        <v>235</v>
      </c>
      <c r="E502" s="9" t="s">
        <v>461</v>
      </c>
      <c r="F502" s="9" t="s">
        <v>46</v>
      </c>
      <c r="G502" s="54">
        <v>750000</v>
      </c>
      <c r="H502" s="54">
        <f>67500*2</f>
        <v>135000</v>
      </c>
      <c r="I502" s="54">
        <f t="shared" si="16"/>
        <v>885000</v>
      </c>
      <c r="J502" s="58" t="e">
        <f>+#REF!+#REF!+#REF!+#REF!</f>
        <v>#REF!</v>
      </c>
      <c r="K502" s="8" t="s">
        <v>1935</v>
      </c>
    </row>
    <row r="503" spans="1:11" s="1" customFormat="1" ht="45" x14ac:dyDescent="0.2">
      <c r="A503" s="7">
        <v>28</v>
      </c>
      <c r="B503" s="38">
        <v>44722</v>
      </c>
      <c r="C503" s="9" t="s">
        <v>213</v>
      </c>
      <c r="D503" s="9" t="s">
        <v>235</v>
      </c>
      <c r="E503" s="9" t="s">
        <v>214</v>
      </c>
      <c r="F503" s="9" t="s">
        <v>447</v>
      </c>
      <c r="G503" s="54">
        <v>23010</v>
      </c>
      <c r="H503" s="54">
        <f>2071*2</f>
        <v>4142</v>
      </c>
      <c r="I503" s="54">
        <f t="shared" si="16"/>
        <v>27152</v>
      </c>
      <c r="J503" s="58" t="e">
        <f>+#REF!+#REF!+#REF!+#REF!</f>
        <v>#REF!</v>
      </c>
      <c r="K503" s="8">
        <v>44764</v>
      </c>
    </row>
    <row r="504" spans="1:11" s="1" customFormat="1" ht="45" x14ac:dyDescent="0.2">
      <c r="A504" s="7">
        <v>29</v>
      </c>
      <c r="B504" s="38">
        <v>44592</v>
      </c>
      <c r="C504" s="9">
        <v>749</v>
      </c>
      <c r="D504" s="9" t="s">
        <v>235</v>
      </c>
      <c r="E504" s="9" t="s">
        <v>566</v>
      </c>
      <c r="F504" s="9" t="s">
        <v>42</v>
      </c>
      <c r="G504" s="54">
        <v>49800</v>
      </c>
      <c r="H504" s="54">
        <f>4482*2</f>
        <v>8964</v>
      </c>
      <c r="I504" s="54">
        <f t="shared" si="16"/>
        <v>58764</v>
      </c>
      <c r="J504" s="58" t="e">
        <f>+#REF!+#REF!+#REF!+#REF!</f>
        <v>#REF!</v>
      </c>
      <c r="K504" s="38">
        <v>44608</v>
      </c>
    </row>
    <row r="505" spans="1:11" s="1" customFormat="1" ht="90" x14ac:dyDescent="0.2">
      <c r="A505" s="7">
        <v>30</v>
      </c>
      <c r="B505" s="38">
        <v>44899</v>
      </c>
      <c r="C505" s="9">
        <v>64126</v>
      </c>
      <c r="D505" s="9" t="s">
        <v>235</v>
      </c>
      <c r="E505" s="9" t="s">
        <v>621</v>
      </c>
      <c r="F505" s="9" t="s">
        <v>208</v>
      </c>
      <c r="G505" s="54">
        <v>30393</v>
      </c>
      <c r="H505" s="54">
        <f>2735*2</f>
        <v>5470</v>
      </c>
      <c r="I505" s="54">
        <f t="shared" si="16"/>
        <v>35863</v>
      </c>
      <c r="J505" s="58" t="e">
        <f>+#REF!+#REF!+#REF!+#REF!</f>
        <v>#REF!</v>
      </c>
      <c r="K505" s="8">
        <v>44954</v>
      </c>
    </row>
    <row r="506" spans="1:11" s="1" customFormat="1" ht="45" x14ac:dyDescent="0.2">
      <c r="A506" s="7">
        <v>31</v>
      </c>
      <c r="B506" s="38">
        <v>44943</v>
      </c>
      <c r="C506" s="9" t="s">
        <v>789</v>
      </c>
      <c r="D506" s="9" t="s">
        <v>235</v>
      </c>
      <c r="E506" s="9" t="s">
        <v>743</v>
      </c>
      <c r="F506" s="9" t="s">
        <v>238</v>
      </c>
      <c r="G506" s="54">
        <v>70000</v>
      </c>
      <c r="H506" s="54">
        <f>6300+6300</f>
        <v>12600</v>
      </c>
      <c r="I506" s="54">
        <f t="shared" si="16"/>
        <v>82600</v>
      </c>
      <c r="J506" s="58" t="e">
        <f>+#REF!+#REF!+#REF!+#REF!</f>
        <v>#REF!</v>
      </c>
      <c r="K506" s="8">
        <v>44933</v>
      </c>
    </row>
    <row r="507" spans="1:11" s="1" customFormat="1" ht="45" x14ac:dyDescent="0.2">
      <c r="A507" s="7">
        <v>32</v>
      </c>
      <c r="B507" s="38">
        <v>44933</v>
      </c>
      <c r="C507" s="9" t="s">
        <v>753</v>
      </c>
      <c r="D507" s="9" t="s">
        <v>235</v>
      </c>
      <c r="E507" s="9" t="s">
        <v>744</v>
      </c>
      <c r="F507" s="9" t="s">
        <v>238</v>
      </c>
      <c r="G507" s="54">
        <v>675000</v>
      </c>
      <c r="H507" s="54">
        <f>60750*2</f>
        <v>121500</v>
      </c>
      <c r="I507" s="54">
        <f t="shared" si="16"/>
        <v>796500</v>
      </c>
      <c r="J507" s="58" t="e">
        <f>+#REF!+#REF!+#REF!+#REF!</f>
        <v>#REF!</v>
      </c>
      <c r="K507" s="8" t="s">
        <v>2027</v>
      </c>
    </row>
    <row r="508" spans="1:11" s="1" customFormat="1" ht="45" x14ac:dyDescent="0.2">
      <c r="A508" s="7">
        <v>33</v>
      </c>
      <c r="B508" s="38">
        <v>44943</v>
      </c>
      <c r="C508" s="9" t="s">
        <v>788</v>
      </c>
      <c r="D508" s="9" t="s">
        <v>235</v>
      </c>
      <c r="E508" s="9" t="s">
        <v>745</v>
      </c>
      <c r="F508" s="9" t="s">
        <v>238</v>
      </c>
      <c r="G508" s="54">
        <v>19000</v>
      </c>
      <c r="H508" s="54">
        <f>1710+1710</f>
        <v>3420</v>
      </c>
      <c r="I508" s="54">
        <f t="shared" ref="I508:I541" si="17">+G508+H508</f>
        <v>22420</v>
      </c>
      <c r="J508" s="58" t="e">
        <f>+#REF!+#REF!+#REF!+#REF!</f>
        <v>#REF!</v>
      </c>
      <c r="K508" s="8">
        <v>44937</v>
      </c>
    </row>
    <row r="509" spans="1:11" s="1" customFormat="1" ht="45" x14ac:dyDescent="0.2">
      <c r="A509" s="7">
        <v>34</v>
      </c>
      <c r="B509" s="38">
        <v>44931</v>
      </c>
      <c r="C509" s="9">
        <v>64855</v>
      </c>
      <c r="D509" s="9" t="s">
        <v>235</v>
      </c>
      <c r="E509" s="9" t="s">
        <v>757</v>
      </c>
      <c r="F509" s="9" t="s">
        <v>208</v>
      </c>
      <c r="G509" s="54">
        <v>553.26</v>
      </c>
      <c r="H509" s="54">
        <f>50+50</f>
        <v>100</v>
      </c>
      <c r="I509" s="54">
        <f t="shared" si="17"/>
        <v>653.26</v>
      </c>
      <c r="J509" s="58" t="e">
        <f>+#REF!+#REF!+#REF!+#REF!-0.26</f>
        <v>#REF!</v>
      </c>
      <c r="K509" s="8">
        <v>44980</v>
      </c>
    </row>
    <row r="510" spans="1:11" s="1" customFormat="1" ht="45" x14ac:dyDescent="0.2">
      <c r="A510" s="7">
        <v>36</v>
      </c>
      <c r="B510" s="38">
        <v>44933</v>
      </c>
      <c r="C510" s="9" t="s">
        <v>806</v>
      </c>
      <c r="D510" s="9" t="s">
        <v>235</v>
      </c>
      <c r="E510" s="9" t="s">
        <v>807</v>
      </c>
      <c r="F510" s="9" t="s">
        <v>106</v>
      </c>
      <c r="G510" s="54">
        <v>7634</v>
      </c>
      <c r="H510" s="54">
        <v>0</v>
      </c>
      <c r="I510" s="54">
        <f t="shared" si="17"/>
        <v>7634</v>
      </c>
      <c r="J510" s="58" t="e">
        <f>+#REF!+#REF!+#REF!+#REF!</f>
        <v>#REF!</v>
      </c>
      <c r="K510" s="8">
        <v>44933</v>
      </c>
    </row>
    <row r="511" spans="1:11" s="1" customFormat="1" ht="45" x14ac:dyDescent="0.2">
      <c r="A511" s="7">
        <v>37</v>
      </c>
      <c r="B511" s="38">
        <v>44936</v>
      </c>
      <c r="C511" s="9" t="s">
        <v>808</v>
      </c>
      <c r="D511" s="9" t="s">
        <v>235</v>
      </c>
      <c r="E511" s="9" t="s">
        <v>809</v>
      </c>
      <c r="F511" s="9" t="s">
        <v>106</v>
      </c>
      <c r="G511" s="54">
        <v>1403</v>
      </c>
      <c r="H511" s="54">
        <v>0</v>
      </c>
      <c r="I511" s="54">
        <f t="shared" si="17"/>
        <v>1403</v>
      </c>
      <c r="J511" s="58" t="e">
        <f>+#REF!+#REF!+#REF!+#REF!</f>
        <v>#REF!</v>
      </c>
      <c r="K511" s="8">
        <v>44943</v>
      </c>
    </row>
    <row r="512" spans="1:11" s="1" customFormat="1" ht="45" x14ac:dyDescent="0.2">
      <c r="A512" s="7">
        <v>38</v>
      </c>
      <c r="B512" s="38">
        <v>44938</v>
      </c>
      <c r="C512" s="9" t="s">
        <v>810</v>
      </c>
      <c r="D512" s="9" t="s">
        <v>235</v>
      </c>
      <c r="E512" s="9" t="s">
        <v>811</v>
      </c>
      <c r="F512" s="9" t="s">
        <v>106</v>
      </c>
      <c r="G512" s="54">
        <v>1603</v>
      </c>
      <c r="H512" s="54">
        <v>0</v>
      </c>
      <c r="I512" s="54">
        <f t="shared" si="17"/>
        <v>1603</v>
      </c>
      <c r="J512" s="58" t="e">
        <f>+#REF!+#REF!+#REF!+#REF!</f>
        <v>#REF!</v>
      </c>
      <c r="K512" s="8">
        <v>44943</v>
      </c>
    </row>
    <row r="513" spans="1:11" s="1" customFormat="1" ht="45" x14ac:dyDescent="0.2">
      <c r="A513" s="7">
        <v>39</v>
      </c>
      <c r="B513" s="38">
        <v>44943</v>
      </c>
      <c r="C513" s="9" t="s">
        <v>815</v>
      </c>
      <c r="D513" s="9" t="s">
        <v>235</v>
      </c>
      <c r="E513" s="9" t="s">
        <v>816</v>
      </c>
      <c r="F513" s="9" t="s">
        <v>817</v>
      </c>
      <c r="G513" s="54">
        <v>77770.399999999994</v>
      </c>
      <c r="H513" s="54">
        <f>6999+6999</f>
        <v>13998</v>
      </c>
      <c r="I513" s="54">
        <f t="shared" si="17"/>
        <v>91768.4</v>
      </c>
      <c r="J513" s="58" t="e">
        <f>+#REF!+#REF!+#REF!+#REF!-0.4</f>
        <v>#REF!</v>
      </c>
      <c r="K513" s="8">
        <v>44996</v>
      </c>
    </row>
    <row r="514" spans="1:11" s="1" customFormat="1" ht="45" x14ac:dyDescent="0.2">
      <c r="A514" s="7">
        <v>40</v>
      </c>
      <c r="B514" s="38">
        <v>44943</v>
      </c>
      <c r="C514" s="9" t="s">
        <v>818</v>
      </c>
      <c r="D514" s="9" t="s">
        <v>235</v>
      </c>
      <c r="E514" s="9" t="s">
        <v>819</v>
      </c>
      <c r="F514" s="9" t="s">
        <v>158</v>
      </c>
      <c r="G514" s="54">
        <v>1900</v>
      </c>
      <c r="H514" s="54">
        <v>0</v>
      </c>
      <c r="I514" s="54">
        <f t="shared" si="17"/>
        <v>1900</v>
      </c>
      <c r="J514" s="58" t="e">
        <f>+#REF!+#REF!+#REF!+#REF!</f>
        <v>#REF!</v>
      </c>
      <c r="K514" s="8">
        <v>44954</v>
      </c>
    </row>
    <row r="515" spans="1:11" s="1" customFormat="1" ht="45" x14ac:dyDescent="0.2">
      <c r="A515" s="7">
        <v>41</v>
      </c>
      <c r="B515" s="38">
        <v>44943</v>
      </c>
      <c r="C515" s="9">
        <v>54625</v>
      </c>
      <c r="D515" s="9" t="s">
        <v>235</v>
      </c>
      <c r="E515" s="9" t="s">
        <v>1132</v>
      </c>
      <c r="F515" s="9" t="s">
        <v>158</v>
      </c>
      <c r="G515" s="54">
        <v>1700</v>
      </c>
      <c r="H515" s="54">
        <v>0</v>
      </c>
      <c r="I515" s="54">
        <f t="shared" si="17"/>
        <v>1700</v>
      </c>
      <c r="J515" s="58" t="e">
        <f>+#REF!+#REF!+#REF!+#REF!</f>
        <v>#REF!</v>
      </c>
      <c r="K515" s="8">
        <v>44954</v>
      </c>
    </row>
    <row r="516" spans="1:11" s="1" customFormat="1" ht="45" x14ac:dyDescent="0.2">
      <c r="A516" s="7">
        <v>42</v>
      </c>
      <c r="B516" s="38">
        <v>44944</v>
      </c>
      <c r="C516" s="9" t="s">
        <v>476</v>
      </c>
      <c r="D516" s="9" t="s">
        <v>235</v>
      </c>
      <c r="E516" s="9" t="s">
        <v>828</v>
      </c>
      <c r="F516" s="9" t="s">
        <v>762</v>
      </c>
      <c r="G516" s="54">
        <v>2200</v>
      </c>
      <c r="H516" s="54">
        <v>0</v>
      </c>
      <c r="I516" s="54">
        <f t="shared" si="17"/>
        <v>2200</v>
      </c>
      <c r="J516" s="58" t="e">
        <f>+#REF!+#REF!+#REF!+#REF!</f>
        <v>#REF!</v>
      </c>
      <c r="K516" s="8">
        <v>44944</v>
      </c>
    </row>
    <row r="517" spans="1:11" s="1" customFormat="1" ht="90" x14ac:dyDescent="0.2">
      <c r="A517" s="7">
        <v>43</v>
      </c>
      <c r="B517" s="38">
        <v>44950</v>
      </c>
      <c r="C517" s="9">
        <v>65105</v>
      </c>
      <c r="D517" s="9" t="s">
        <v>235</v>
      </c>
      <c r="E517" s="9" t="s">
        <v>829</v>
      </c>
      <c r="F517" s="9" t="s">
        <v>208</v>
      </c>
      <c r="G517" s="54">
        <v>63422.2</v>
      </c>
      <c r="H517" s="54">
        <f>5708+5708</f>
        <v>11416</v>
      </c>
      <c r="I517" s="54">
        <f t="shared" si="17"/>
        <v>74838.2</v>
      </c>
      <c r="J517" s="58" t="e">
        <f>+#REF!+#REF!+#REF!+#REF!-0.2</f>
        <v>#REF!</v>
      </c>
      <c r="K517" s="8">
        <v>44980</v>
      </c>
    </row>
    <row r="518" spans="1:11" s="1" customFormat="1" ht="45" x14ac:dyDescent="0.2">
      <c r="A518" s="7">
        <v>45</v>
      </c>
      <c r="B518" s="38">
        <v>44978</v>
      </c>
      <c r="C518" s="9" t="s">
        <v>1701</v>
      </c>
      <c r="D518" s="9" t="s">
        <v>235</v>
      </c>
      <c r="E518" s="9" t="s">
        <v>1702</v>
      </c>
      <c r="F518" s="9" t="s">
        <v>1703</v>
      </c>
      <c r="G518" s="54">
        <v>5882.7</v>
      </c>
      <c r="H518" s="54">
        <f>529+529</f>
        <v>1058</v>
      </c>
      <c r="I518" s="54">
        <f t="shared" si="17"/>
        <v>6940.7</v>
      </c>
      <c r="J518" s="58" t="e">
        <f>+#REF!+#REF!+#REF!+#REF!+0.3</f>
        <v>#REF!</v>
      </c>
      <c r="K518" s="8">
        <v>45008</v>
      </c>
    </row>
    <row r="519" spans="1:11" s="1" customFormat="1" ht="45" x14ac:dyDescent="0.2">
      <c r="A519" s="7">
        <v>46</v>
      </c>
      <c r="B519" s="38">
        <v>44979</v>
      </c>
      <c r="C519" s="9" t="s">
        <v>957</v>
      </c>
      <c r="D519" s="9" t="s">
        <v>235</v>
      </c>
      <c r="E519" s="9" t="s">
        <v>958</v>
      </c>
      <c r="F519" s="9" t="s">
        <v>238</v>
      </c>
      <c r="G519" s="54">
        <v>300000</v>
      </c>
      <c r="H519" s="54">
        <f>27000+27000</f>
        <v>54000</v>
      </c>
      <c r="I519" s="54">
        <f t="shared" si="17"/>
        <v>354000</v>
      </c>
      <c r="J519" s="58" t="e">
        <f>+#REF!+#REF!+#REF!+#REF!</f>
        <v>#REF!</v>
      </c>
      <c r="K519" s="8" t="s">
        <v>2028</v>
      </c>
    </row>
    <row r="520" spans="1:11" s="1" customFormat="1" ht="45" x14ac:dyDescent="0.2">
      <c r="A520" s="7">
        <v>48</v>
      </c>
      <c r="B520" s="38">
        <v>44996</v>
      </c>
      <c r="C520" s="9" t="s">
        <v>1037</v>
      </c>
      <c r="D520" s="9" t="s">
        <v>235</v>
      </c>
      <c r="E520" s="9" t="s">
        <v>1038</v>
      </c>
      <c r="F520" s="9" t="s">
        <v>46</v>
      </c>
      <c r="G520" s="54">
        <v>1110174</v>
      </c>
      <c r="H520" s="54">
        <f>99916+99916</f>
        <v>199832</v>
      </c>
      <c r="I520" s="54">
        <f t="shared" si="17"/>
        <v>1310006</v>
      </c>
      <c r="J520" s="58" t="e">
        <f>+#REF!+#REF!+#REF!+#REF!</f>
        <v>#REF!</v>
      </c>
      <c r="K520" s="8" t="s">
        <v>1936</v>
      </c>
    </row>
    <row r="521" spans="1:11" s="1" customFormat="1" ht="45" x14ac:dyDescent="0.2">
      <c r="A521" s="7">
        <v>49</v>
      </c>
      <c r="B521" s="38">
        <v>45035</v>
      </c>
      <c r="C521" s="9">
        <v>191</v>
      </c>
      <c r="D521" s="9" t="s">
        <v>235</v>
      </c>
      <c r="E521" s="9" t="s">
        <v>1315</v>
      </c>
      <c r="F521" s="9" t="s">
        <v>1316</v>
      </c>
      <c r="G521" s="54">
        <v>3000</v>
      </c>
      <c r="H521" s="54">
        <f>270+270</f>
        <v>540</v>
      </c>
      <c r="I521" s="54">
        <f t="shared" si="17"/>
        <v>3540</v>
      </c>
      <c r="J521" s="58" t="e">
        <f>+#REF!+#REF!+#REF!+#REF!</f>
        <v>#REF!</v>
      </c>
      <c r="K521" s="8">
        <v>45065</v>
      </c>
    </row>
    <row r="522" spans="1:11" s="1" customFormat="1" ht="45" x14ac:dyDescent="0.2">
      <c r="A522" s="7">
        <v>50</v>
      </c>
      <c r="B522" s="38">
        <v>45094</v>
      </c>
      <c r="C522" s="9" t="s">
        <v>1689</v>
      </c>
      <c r="D522" s="9" t="s">
        <v>235</v>
      </c>
      <c r="E522" s="9" t="s">
        <v>1690</v>
      </c>
      <c r="F522" s="9" t="s">
        <v>84</v>
      </c>
      <c r="G522" s="54">
        <v>15500</v>
      </c>
      <c r="H522" s="54">
        <v>2790</v>
      </c>
      <c r="I522" s="54">
        <f t="shared" si="17"/>
        <v>18290</v>
      </c>
      <c r="J522" s="58" t="e">
        <f>+#REF!+#REF!+#REF!+#REF!</f>
        <v>#REF!</v>
      </c>
      <c r="K522" s="8">
        <v>45162</v>
      </c>
    </row>
    <row r="523" spans="1:11" s="1" customFormat="1" ht="45" x14ac:dyDescent="0.2">
      <c r="A523" s="7">
        <v>51</v>
      </c>
      <c r="B523" s="38">
        <v>45107</v>
      </c>
      <c r="C523" s="9">
        <v>198</v>
      </c>
      <c r="D523" s="9" t="s">
        <v>235</v>
      </c>
      <c r="E523" s="9" t="s">
        <v>1748</v>
      </c>
      <c r="F523" s="9" t="s">
        <v>1316</v>
      </c>
      <c r="G523" s="54">
        <v>3000</v>
      </c>
      <c r="H523" s="54">
        <f>270+270</f>
        <v>540</v>
      </c>
      <c r="I523" s="54">
        <f t="shared" si="17"/>
        <v>3540</v>
      </c>
      <c r="J523" s="58" t="e">
        <f>+#REF!+#REF!+#REF!+#REF!</f>
        <v>#REF!</v>
      </c>
      <c r="K523" s="8">
        <v>45112</v>
      </c>
    </row>
    <row r="524" spans="1:11" s="1" customFormat="1" ht="75" x14ac:dyDescent="0.2">
      <c r="A524" s="7">
        <v>52</v>
      </c>
      <c r="B524" s="38">
        <v>45168</v>
      </c>
      <c r="C524" s="9"/>
      <c r="D524" s="9" t="s">
        <v>235</v>
      </c>
      <c r="E524" s="9" t="s">
        <v>1873</v>
      </c>
      <c r="F524" s="9" t="s">
        <v>238</v>
      </c>
      <c r="G524" s="54">
        <v>-4000</v>
      </c>
      <c r="H524" s="54">
        <v>0</v>
      </c>
      <c r="I524" s="54">
        <f t="shared" si="17"/>
        <v>-4000</v>
      </c>
      <c r="J524" s="58" t="e">
        <f>+#REF!+#REF!+#REF!+#REF!</f>
        <v>#REF!</v>
      </c>
      <c r="K524" s="8"/>
    </row>
    <row r="525" spans="1:11" s="1" customFormat="1" ht="45" x14ac:dyDescent="0.2">
      <c r="A525" s="7">
        <v>53</v>
      </c>
      <c r="B525" s="38">
        <v>45175</v>
      </c>
      <c r="C525" s="9" t="s">
        <v>1904</v>
      </c>
      <c r="D525" s="9" t="s">
        <v>235</v>
      </c>
      <c r="E525" s="9" t="s">
        <v>1905</v>
      </c>
      <c r="F525" s="9" t="s">
        <v>151</v>
      </c>
      <c r="G525" s="54">
        <v>71500</v>
      </c>
      <c r="H525" s="54">
        <f>6435+6435</f>
        <v>12870</v>
      </c>
      <c r="I525" s="54">
        <f t="shared" si="17"/>
        <v>84370</v>
      </c>
      <c r="J525" s="58" t="e">
        <f>+#REF!+#REF!+#REF!+#REF!</f>
        <v>#REF!</v>
      </c>
      <c r="K525" s="8"/>
    </row>
    <row r="526" spans="1:11" s="1" customFormat="1" ht="45" x14ac:dyDescent="0.2">
      <c r="A526" s="7">
        <v>54</v>
      </c>
      <c r="B526" s="38">
        <v>45227</v>
      </c>
      <c r="C526" s="9">
        <v>248</v>
      </c>
      <c r="D526" s="9" t="s">
        <v>235</v>
      </c>
      <c r="E526" s="9" t="s">
        <v>2037</v>
      </c>
      <c r="F526" s="9" t="s">
        <v>1316</v>
      </c>
      <c r="G526" s="54">
        <v>3000</v>
      </c>
      <c r="H526" s="54">
        <f>270+270</f>
        <v>540</v>
      </c>
      <c r="I526" s="54">
        <f t="shared" si="17"/>
        <v>3540</v>
      </c>
      <c r="J526" s="58" t="e">
        <f>+#REF!+#REF!+#REF!+#REF!</f>
        <v>#REF!</v>
      </c>
      <c r="K526" s="8">
        <v>45259</v>
      </c>
    </row>
    <row r="527" spans="1:11" s="1" customFormat="1" ht="75" x14ac:dyDescent="0.2">
      <c r="A527" s="7">
        <v>55</v>
      </c>
      <c r="B527" s="38">
        <v>45263</v>
      </c>
      <c r="C527" s="9" t="s">
        <v>2059</v>
      </c>
      <c r="D527" s="9" t="s">
        <v>235</v>
      </c>
      <c r="E527" s="9" t="s">
        <v>2060</v>
      </c>
      <c r="F527" s="9" t="s">
        <v>665</v>
      </c>
      <c r="G527" s="54">
        <v>41218.26</v>
      </c>
      <c r="H527" s="54">
        <f>3710+3710</f>
        <v>7420</v>
      </c>
      <c r="I527" s="54">
        <f t="shared" si="17"/>
        <v>48638.26</v>
      </c>
      <c r="J527" s="58" t="e">
        <f>+#REF!+#REF!+#REF!+#REF!</f>
        <v>#REF!</v>
      </c>
      <c r="K527" s="8"/>
    </row>
    <row r="528" spans="1:11" s="1" customFormat="1" ht="60" x14ac:dyDescent="0.2">
      <c r="A528" s="7">
        <v>56</v>
      </c>
      <c r="B528" s="38">
        <v>45265</v>
      </c>
      <c r="C528" s="9" t="s">
        <v>2061</v>
      </c>
      <c r="D528" s="9" t="s">
        <v>235</v>
      </c>
      <c r="E528" s="9" t="s">
        <v>2062</v>
      </c>
      <c r="F528" s="9" t="s">
        <v>665</v>
      </c>
      <c r="G528" s="54">
        <v>16706.400000000001</v>
      </c>
      <c r="H528" s="54">
        <f>2339+2339</f>
        <v>4678</v>
      </c>
      <c r="I528" s="54">
        <f t="shared" si="17"/>
        <v>21384.400000000001</v>
      </c>
      <c r="J528" s="58" t="e">
        <f>+#REF!+#REF!+#REF!+#REF!</f>
        <v>#REF!</v>
      </c>
      <c r="K528" s="8"/>
    </row>
    <row r="529" spans="1:11" s="1" customFormat="1" ht="105" x14ac:dyDescent="0.2">
      <c r="A529" s="7">
        <v>57</v>
      </c>
      <c r="B529" s="38">
        <v>45272</v>
      </c>
      <c r="C529" s="9">
        <v>737</v>
      </c>
      <c r="D529" s="9" t="s">
        <v>235</v>
      </c>
      <c r="E529" s="9" t="s">
        <v>2063</v>
      </c>
      <c r="F529" s="9" t="s">
        <v>2064</v>
      </c>
      <c r="G529" s="54">
        <v>26780</v>
      </c>
      <c r="H529" s="54">
        <v>0</v>
      </c>
      <c r="I529" s="54">
        <f t="shared" si="17"/>
        <v>26780</v>
      </c>
      <c r="J529" s="58" t="e">
        <f>+#REF!+#REF!+#REF!+#REF!</f>
        <v>#REF!</v>
      </c>
      <c r="K529" s="8"/>
    </row>
    <row r="530" spans="1:11" s="1" customFormat="1" ht="45" x14ac:dyDescent="0.2">
      <c r="A530" s="7">
        <v>58</v>
      </c>
      <c r="B530" s="38">
        <v>45273</v>
      </c>
      <c r="C530" s="9" t="s">
        <v>476</v>
      </c>
      <c r="D530" s="9" t="s">
        <v>235</v>
      </c>
      <c r="E530" s="9" t="s">
        <v>2065</v>
      </c>
      <c r="F530" s="9" t="s">
        <v>2066</v>
      </c>
      <c r="G530" s="54">
        <v>3000</v>
      </c>
      <c r="H530" s="54">
        <v>0</v>
      </c>
      <c r="I530" s="54">
        <f t="shared" si="17"/>
        <v>3000</v>
      </c>
      <c r="J530" s="58" t="e">
        <f>+#REF!+#REF!+#REF!+#REF!</f>
        <v>#REF!</v>
      </c>
      <c r="K530" s="8"/>
    </row>
    <row r="531" spans="1:11" s="1" customFormat="1" ht="45" x14ac:dyDescent="0.2">
      <c r="A531" s="7">
        <v>59</v>
      </c>
      <c r="B531" s="38">
        <v>45274</v>
      </c>
      <c r="C531" s="9" t="s">
        <v>2068</v>
      </c>
      <c r="D531" s="9" t="s">
        <v>235</v>
      </c>
      <c r="E531" s="9" t="s">
        <v>2067</v>
      </c>
      <c r="F531" s="9" t="s">
        <v>288</v>
      </c>
      <c r="G531" s="54">
        <v>299460</v>
      </c>
      <c r="H531" s="54">
        <f>26951.4+26951.4</f>
        <v>53902.8</v>
      </c>
      <c r="I531" s="54">
        <f t="shared" si="17"/>
        <v>353362.8</v>
      </c>
      <c r="J531" s="58" t="e">
        <f>+#REF!+#REF!+#REF!+#REF!</f>
        <v>#REF!</v>
      </c>
      <c r="K531" s="8">
        <v>45272</v>
      </c>
    </row>
    <row r="532" spans="1:11" s="1" customFormat="1" ht="45" x14ac:dyDescent="0.2">
      <c r="A532" s="7"/>
      <c r="B532" s="38">
        <v>45275</v>
      </c>
      <c r="C532" s="9" t="s">
        <v>2095</v>
      </c>
      <c r="D532" s="9" t="s">
        <v>235</v>
      </c>
      <c r="E532" s="9" t="s">
        <v>2097</v>
      </c>
      <c r="F532" s="9" t="s">
        <v>2096</v>
      </c>
      <c r="G532" s="54">
        <v>18025</v>
      </c>
      <c r="H532" s="54">
        <v>0</v>
      </c>
      <c r="I532" s="54">
        <f t="shared" si="17"/>
        <v>18025</v>
      </c>
      <c r="J532" s="58" t="e">
        <f>+#REF!+#REF!+#REF!+#REF!</f>
        <v>#REF!</v>
      </c>
      <c r="K532" s="8"/>
    </row>
    <row r="533" spans="1:11" s="1" customFormat="1" ht="75" x14ac:dyDescent="0.2">
      <c r="A533" s="7">
        <v>60</v>
      </c>
      <c r="B533" s="38">
        <v>45283</v>
      </c>
      <c r="C533" s="9" t="s">
        <v>2090</v>
      </c>
      <c r="D533" s="9" t="s">
        <v>235</v>
      </c>
      <c r="E533" s="9" t="s">
        <v>2091</v>
      </c>
      <c r="F533" s="9" t="s">
        <v>206</v>
      </c>
      <c r="G533" s="54">
        <v>44014.3</v>
      </c>
      <c r="H533" s="54">
        <f>3961+3961</f>
        <v>7922</v>
      </c>
      <c r="I533" s="54">
        <f t="shared" si="17"/>
        <v>51936.3</v>
      </c>
      <c r="J533" s="58" t="e">
        <f>+#REF!+#REF!+#REF!+#REF!</f>
        <v>#REF!</v>
      </c>
      <c r="K533" s="8"/>
    </row>
    <row r="534" spans="1:11" s="1" customFormat="1" ht="60" x14ac:dyDescent="0.2">
      <c r="A534" s="7">
        <v>61</v>
      </c>
      <c r="B534" s="38">
        <v>45285</v>
      </c>
      <c r="C534" s="9" t="s">
        <v>2081</v>
      </c>
      <c r="D534" s="9" t="s">
        <v>235</v>
      </c>
      <c r="E534" s="9" t="s">
        <v>2082</v>
      </c>
      <c r="F534" s="9" t="s">
        <v>447</v>
      </c>
      <c r="G534" s="54">
        <v>11858.85</v>
      </c>
      <c r="H534" s="54">
        <f>1067+1067</f>
        <v>2134</v>
      </c>
      <c r="I534" s="54">
        <f t="shared" si="17"/>
        <v>13992.85</v>
      </c>
      <c r="J534" s="58" t="e">
        <f>+#REF!+#REF!+#REF!+#REF!</f>
        <v>#REF!</v>
      </c>
      <c r="K534" s="8"/>
    </row>
    <row r="535" spans="1:11" s="1" customFormat="1" ht="75" x14ac:dyDescent="0.2">
      <c r="A535" s="7">
        <v>62</v>
      </c>
      <c r="B535" s="38">
        <v>45285</v>
      </c>
      <c r="C535" s="9" t="s">
        <v>2083</v>
      </c>
      <c r="D535" s="9" t="s">
        <v>235</v>
      </c>
      <c r="E535" s="9" t="s">
        <v>2084</v>
      </c>
      <c r="F535" s="9" t="s">
        <v>447</v>
      </c>
      <c r="G535" s="54">
        <v>44200.28</v>
      </c>
      <c r="H535" s="54">
        <f>3978+3978</f>
        <v>7956</v>
      </c>
      <c r="I535" s="54">
        <f t="shared" si="17"/>
        <v>52156.28</v>
      </c>
      <c r="J535" s="58" t="e">
        <f>+#REF!+#REF!+#REF!+#REF!</f>
        <v>#REF!</v>
      </c>
      <c r="K535" s="8"/>
    </row>
    <row r="536" spans="1:11" s="1" customFormat="1" ht="45" x14ac:dyDescent="0.2">
      <c r="A536" s="7">
        <v>63</v>
      </c>
      <c r="B536" s="38">
        <v>45285</v>
      </c>
      <c r="C536" s="9" t="s">
        <v>2085</v>
      </c>
      <c r="D536" s="9" t="s">
        <v>235</v>
      </c>
      <c r="E536" s="9" t="s">
        <v>2086</v>
      </c>
      <c r="F536" s="9" t="s">
        <v>447</v>
      </c>
      <c r="G536" s="54">
        <v>1731.84</v>
      </c>
      <c r="H536" s="54">
        <f>156+156</f>
        <v>312</v>
      </c>
      <c r="I536" s="54">
        <f t="shared" si="17"/>
        <v>2043.84</v>
      </c>
      <c r="J536" s="58" t="e">
        <f>+#REF!+#REF!+#REF!+#REF!</f>
        <v>#REF!</v>
      </c>
      <c r="K536" s="8"/>
    </row>
    <row r="537" spans="1:11" s="1" customFormat="1" ht="45" x14ac:dyDescent="0.2">
      <c r="A537" s="7">
        <v>64</v>
      </c>
      <c r="B537" s="38">
        <v>45286</v>
      </c>
      <c r="C537" s="9" t="s">
        <v>476</v>
      </c>
      <c r="D537" s="9" t="s">
        <v>235</v>
      </c>
      <c r="E537" s="9" t="s">
        <v>2098</v>
      </c>
      <c r="F537" s="9" t="s">
        <v>2099</v>
      </c>
      <c r="G537" s="54">
        <v>10000</v>
      </c>
      <c r="H537" s="54">
        <v>0</v>
      </c>
      <c r="I537" s="54">
        <f t="shared" si="17"/>
        <v>10000</v>
      </c>
      <c r="J537" s="58" t="e">
        <f>+#REF!+#REF!+#REF!+#REF!</f>
        <v>#REF!</v>
      </c>
      <c r="K537" s="8"/>
    </row>
    <row r="538" spans="1:11" s="1" customFormat="1" ht="45" x14ac:dyDescent="0.2">
      <c r="A538" s="7">
        <v>65</v>
      </c>
      <c r="B538" s="38">
        <v>45287</v>
      </c>
      <c r="C538" s="9" t="s">
        <v>476</v>
      </c>
      <c r="D538" s="9" t="s">
        <v>235</v>
      </c>
      <c r="E538" s="9" t="s">
        <v>2100</v>
      </c>
      <c r="F538" s="9" t="s">
        <v>2101</v>
      </c>
      <c r="G538" s="54">
        <v>4000</v>
      </c>
      <c r="H538" s="54">
        <v>0</v>
      </c>
      <c r="I538" s="54">
        <f t="shared" si="17"/>
        <v>4000</v>
      </c>
      <c r="J538" s="58" t="e">
        <f>+#REF!+#REF!+#REF!+#REF!</f>
        <v>#REF!</v>
      </c>
      <c r="K538" s="8"/>
    </row>
    <row r="539" spans="1:11" s="1" customFormat="1" ht="45" x14ac:dyDescent="0.2">
      <c r="A539" s="7">
        <v>66</v>
      </c>
      <c r="B539" s="38">
        <v>45287</v>
      </c>
      <c r="C539" s="9" t="s">
        <v>476</v>
      </c>
      <c r="D539" s="9" t="s">
        <v>235</v>
      </c>
      <c r="E539" s="9" t="s">
        <v>2098</v>
      </c>
      <c r="F539" s="9" t="s">
        <v>2102</v>
      </c>
      <c r="G539" s="54">
        <v>10000</v>
      </c>
      <c r="H539" s="54">
        <v>0</v>
      </c>
      <c r="I539" s="54">
        <f t="shared" si="17"/>
        <v>10000</v>
      </c>
      <c r="J539" s="58" t="e">
        <f>+#REF!+#REF!+#REF!+#REF!</f>
        <v>#REF!</v>
      </c>
      <c r="K539" s="8"/>
    </row>
    <row r="540" spans="1:11" s="1" customFormat="1" ht="45" x14ac:dyDescent="0.2">
      <c r="A540" s="7">
        <v>67</v>
      </c>
      <c r="B540" s="38">
        <v>45288</v>
      </c>
      <c r="C540" s="9" t="s">
        <v>476</v>
      </c>
      <c r="D540" s="9" t="s">
        <v>235</v>
      </c>
      <c r="E540" s="9" t="s">
        <v>2098</v>
      </c>
      <c r="F540" s="9" t="s">
        <v>2102</v>
      </c>
      <c r="G540" s="54">
        <v>10000</v>
      </c>
      <c r="H540" s="54">
        <v>0</v>
      </c>
      <c r="I540" s="54">
        <f t="shared" si="17"/>
        <v>10000</v>
      </c>
      <c r="J540" s="58" t="e">
        <f>+#REF!+#REF!+#REF!+#REF!</f>
        <v>#REF!</v>
      </c>
      <c r="K540" s="8"/>
    </row>
    <row r="541" spans="1:11" s="1" customFormat="1" ht="45" x14ac:dyDescent="0.2">
      <c r="A541" s="7">
        <v>68</v>
      </c>
      <c r="B541" s="38">
        <v>45289</v>
      </c>
      <c r="C541" s="9" t="s">
        <v>476</v>
      </c>
      <c r="D541" s="9" t="s">
        <v>235</v>
      </c>
      <c r="E541" s="9" t="s">
        <v>2098</v>
      </c>
      <c r="F541" s="9" t="s">
        <v>2102</v>
      </c>
      <c r="G541" s="54">
        <v>7475</v>
      </c>
      <c r="H541" s="54">
        <v>0</v>
      </c>
      <c r="I541" s="54">
        <f t="shared" si="17"/>
        <v>7475</v>
      </c>
      <c r="J541" s="58" t="e">
        <f>+#REF!+#REF!+#REF!+#REF!</f>
        <v>#REF!</v>
      </c>
      <c r="K541" s="8"/>
    </row>
    <row r="542" spans="1:11" s="1" customFormat="1" ht="15" x14ac:dyDescent="0.2">
      <c r="A542" s="7"/>
      <c r="B542" s="38"/>
      <c r="C542" s="9"/>
      <c r="D542" s="9"/>
      <c r="E542" s="9"/>
      <c r="F542" s="9"/>
      <c r="G542" s="54"/>
      <c r="H542" s="54"/>
      <c r="I542" s="54"/>
      <c r="J542" s="58"/>
      <c r="K542" s="8"/>
    </row>
    <row r="543" spans="1:11" s="21" customFormat="1" ht="15.75" x14ac:dyDescent="0.25">
      <c r="A543" s="18"/>
      <c r="B543" s="19"/>
      <c r="C543" s="20"/>
      <c r="D543" s="20"/>
      <c r="E543" s="20"/>
      <c r="F543" s="27" t="s">
        <v>593</v>
      </c>
      <c r="G543" s="24">
        <f t="shared" ref="G543:I543" si="18">SUM(G477:G542)</f>
        <v>8198959.540000001</v>
      </c>
      <c r="H543" s="24">
        <f t="shared" si="18"/>
        <v>1450092.8</v>
      </c>
      <c r="I543" s="24">
        <f t="shared" si="18"/>
        <v>9649052.3399999999</v>
      </c>
      <c r="J543" s="58" t="e">
        <f>+#REF!+#REF!+#REF!+#REF!</f>
        <v>#REF!</v>
      </c>
      <c r="K543" s="8"/>
    </row>
    <row r="544" spans="1:11" s="1" customFormat="1" ht="15.75" x14ac:dyDescent="0.2">
      <c r="A544" s="7"/>
      <c r="B544" s="8"/>
      <c r="C544" s="9"/>
      <c r="D544" s="9"/>
      <c r="E544" s="30" t="s">
        <v>252</v>
      </c>
      <c r="F544" s="9"/>
      <c r="G544" s="10"/>
      <c r="H544" s="11"/>
      <c r="I544" s="11"/>
      <c r="J544" s="58" t="e">
        <f>+#REF!+#REF!+#REF!+#REF!</f>
        <v>#REF!</v>
      </c>
      <c r="K544" s="8"/>
    </row>
    <row r="545" spans="1:11" s="1" customFormat="1" ht="135.75" customHeight="1" x14ac:dyDescent="0.2">
      <c r="A545" s="7">
        <v>1</v>
      </c>
      <c r="B545" s="38">
        <v>44855</v>
      </c>
      <c r="C545" s="9">
        <v>576</v>
      </c>
      <c r="D545" s="9" t="s">
        <v>252</v>
      </c>
      <c r="E545" s="9" t="s">
        <v>253</v>
      </c>
      <c r="F545" s="9" t="s">
        <v>254</v>
      </c>
      <c r="G545" s="54">
        <v>189360</v>
      </c>
      <c r="H545" s="54">
        <f>17042*2</f>
        <v>34084</v>
      </c>
      <c r="I545" s="54">
        <f t="shared" ref="I545:I576" si="19">+G545+H545</f>
        <v>223444</v>
      </c>
      <c r="J545" s="54" t="e">
        <f>+#REF!+#REF!+#REF!+#REF!+1</f>
        <v>#REF!</v>
      </c>
      <c r="K545" s="8">
        <v>44914</v>
      </c>
    </row>
    <row r="546" spans="1:11" s="1" customFormat="1" ht="45" x14ac:dyDescent="0.2">
      <c r="A546" s="7">
        <v>2</v>
      </c>
      <c r="B546" s="38">
        <v>44774</v>
      </c>
      <c r="C546" s="9" t="s">
        <v>255</v>
      </c>
      <c r="D546" s="9" t="s">
        <v>252</v>
      </c>
      <c r="E546" s="9" t="s">
        <v>256</v>
      </c>
      <c r="F546" s="9" t="s">
        <v>257</v>
      </c>
      <c r="G546" s="54">
        <v>560000</v>
      </c>
      <c r="H546" s="54">
        <f>50400*2</f>
        <v>100800</v>
      </c>
      <c r="I546" s="54">
        <f t="shared" si="19"/>
        <v>660800</v>
      </c>
      <c r="J546" s="54" t="e">
        <f>+#REF!+#REF!+#REF!+#REF!</f>
        <v>#REF!</v>
      </c>
      <c r="K546" s="8">
        <v>44774</v>
      </c>
    </row>
    <row r="547" spans="1:11" s="1" customFormat="1" ht="90" x14ac:dyDescent="0.2">
      <c r="A547" s="7">
        <v>3</v>
      </c>
      <c r="B547" s="38">
        <v>44774</v>
      </c>
      <c r="C547" s="9" t="s">
        <v>258</v>
      </c>
      <c r="D547" s="9" t="s">
        <v>252</v>
      </c>
      <c r="E547" s="9" t="s">
        <v>259</v>
      </c>
      <c r="F547" s="9" t="s">
        <v>257</v>
      </c>
      <c r="G547" s="54">
        <v>658000</v>
      </c>
      <c r="H547" s="54">
        <f>59220*2</f>
        <v>118440</v>
      </c>
      <c r="I547" s="54">
        <f t="shared" si="19"/>
        <v>776440</v>
      </c>
      <c r="J547" s="54" t="e">
        <f>+#REF!+#REF!+#REF!+#REF!</f>
        <v>#REF!</v>
      </c>
      <c r="K547" s="8">
        <v>44774</v>
      </c>
    </row>
    <row r="548" spans="1:11" s="1" customFormat="1" ht="30" x14ac:dyDescent="0.2">
      <c r="A548" s="7">
        <v>4</v>
      </c>
      <c r="B548" s="38">
        <v>44781</v>
      </c>
      <c r="C548" s="9" t="s">
        <v>260</v>
      </c>
      <c r="D548" s="9" t="s">
        <v>252</v>
      </c>
      <c r="E548" s="9" t="s">
        <v>261</v>
      </c>
      <c r="F548" s="9" t="s">
        <v>262</v>
      </c>
      <c r="G548" s="54">
        <v>2875000</v>
      </c>
      <c r="H548" s="54">
        <f>258750*2</f>
        <v>517500</v>
      </c>
      <c r="I548" s="54">
        <f t="shared" si="19"/>
        <v>3392500</v>
      </c>
      <c r="J548" s="54" t="e">
        <f>+#REF!+#REF!+#REF!+#REF!</f>
        <v>#REF!</v>
      </c>
      <c r="K548" s="8" t="s">
        <v>1946</v>
      </c>
    </row>
    <row r="549" spans="1:11" s="1" customFormat="1" ht="102.75" customHeight="1" x14ac:dyDescent="0.2">
      <c r="A549" s="7">
        <v>5</v>
      </c>
      <c r="B549" s="38">
        <v>44855</v>
      </c>
      <c r="C549" s="9">
        <v>2672</v>
      </c>
      <c r="D549" s="9" t="s">
        <v>252</v>
      </c>
      <c r="E549" s="9" t="s">
        <v>266</v>
      </c>
      <c r="F549" s="9" t="s">
        <v>267</v>
      </c>
      <c r="G549" s="54">
        <v>342745.59999999998</v>
      </c>
      <c r="H549" s="54">
        <f>30847*2</f>
        <v>61694</v>
      </c>
      <c r="I549" s="54">
        <f t="shared" si="19"/>
        <v>404439.6</v>
      </c>
      <c r="J549" s="54" t="e">
        <f>+#REF!+#REF!+#REF!+#REF!+0.4</f>
        <v>#REF!</v>
      </c>
      <c r="K549" s="8">
        <v>44895</v>
      </c>
    </row>
    <row r="550" spans="1:11" s="1" customFormat="1" ht="30" x14ac:dyDescent="0.2">
      <c r="A550" s="7">
        <v>6</v>
      </c>
      <c r="B550" s="38">
        <v>44731</v>
      </c>
      <c r="C550" s="9"/>
      <c r="D550" s="9" t="s">
        <v>252</v>
      </c>
      <c r="E550" s="9" t="s">
        <v>200</v>
      </c>
      <c r="F550" s="9" t="s">
        <v>70</v>
      </c>
      <c r="G550" s="54">
        <v>10000</v>
      </c>
      <c r="H550" s="54">
        <v>0</v>
      </c>
      <c r="I550" s="54">
        <f t="shared" si="19"/>
        <v>10000</v>
      </c>
      <c r="J550" s="54" t="e">
        <f>+#REF!+#REF!+#REF!+#REF!</f>
        <v>#REF!</v>
      </c>
      <c r="K550" s="38">
        <v>44731</v>
      </c>
    </row>
    <row r="551" spans="1:11" s="1" customFormat="1" ht="30" x14ac:dyDescent="0.2">
      <c r="A551" s="7">
        <v>7</v>
      </c>
      <c r="B551" s="38">
        <v>44732</v>
      </c>
      <c r="C551" s="9"/>
      <c r="D551" s="9" t="s">
        <v>252</v>
      </c>
      <c r="E551" s="9" t="s">
        <v>200</v>
      </c>
      <c r="F551" s="9" t="s">
        <v>70</v>
      </c>
      <c r="G551" s="54">
        <v>1400</v>
      </c>
      <c r="H551" s="54">
        <v>0</v>
      </c>
      <c r="I551" s="54">
        <f t="shared" si="19"/>
        <v>1400</v>
      </c>
      <c r="J551" s="54" t="e">
        <f>+#REF!+#REF!+#REF!+#REF!</f>
        <v>#REF!</v>
      </c>
      <c r="K551" s="38">
        <v>44732</v>
      </c>
    </row>
    <row r="552" spans="1:11" s="1" customFormat="1" ht="90" x14ac:dyDescent="0.2">
      <c r="A552" s="7">
        <v>8</v>
      </c>
      <c r="B552" s="38">
        <v>44804</v>
      </c>
      <c r="C552" s="9" t="s">
        <v>268</v>
      </c>
      <c r="D552" s="9" t="s">
        <v>252</v>
      </c>
      <c r="E552" s="9" t="s">
        <v>269</v>
      </c>
      <c r="F552" s="9" t="s">
        <v>270</v>
      </c>
      <c r="G552" s="54">
        <v>4093778</v>
      </c>
      <c r="H552" s="54">
        <f>368440*2</f>
        <v>736880</v>
      </c>
      <c r="I552" s="54">
        <f t="shared" si="19"/>
        <v>4830658</v>
      </c>
      <c r="J552" s="54" t="e">
        <f>+#REF!+#REF!+#REF!+#REF!</f>
        <v>#REF!</v>
      </c>
      <c r="K552" s="8" t="s">
        <v>2019</v>
      </c>
    </row>
    <row r="553" spans="1:11" s="1" customFormat="1" ht="135" x14ac:dyDescent="0.2">
      <c r="A553" s="7">
        <v>9</v>
      </c>
      <c r="B553" s="38">
        <v>44829</v>
      </c>
      <c r="C553" s="9" t="s">
        <v>271</v>
      </c>
      <c r="D553" s="9" t="s">
        <v>252</v>
      </c>
      <c r="E553" s="9" t="s">
        <v>272</v>
      </c>
      <c r="F553" s="9" t="s">
        <v>270</v>
      </c>
      <c r="G553" s="54">
        <v>2606220</v>
      </c>
      <c r="H553" s="54">
        <f>234560*2</f>
        <v>469120</v>
      </c>
      <c r="I553" s="54">
        <f t="shared" si="19"/>
        <v>3075340</v>
      </c>
      <c r="J553" s="54" t="e">
        <f>+#REF!+#REF!+#REF!+#REF!</f>
        <v>#REF!</v>
      </c>
      <c r="K553" s="8" t="s">
        <v>2018</v>
      </c>
    </row>
    <row r="554" spans="1:11" s="1" customFormat="1" ht="60" x14ac:dyDescent="0.2">
      <c r="A554" s="7">
        <v>10</v>
      </c>
      <c r="B554" s="38">
        <v>44813</v>
      </c>
      <c r="C554" s="9" t="s">
        <v>291</v>
      </c>
      <c r="D554" s="9" t="s">
        <v>252</v>
      </c>
      <c r="E554" s="9" t="s">
        <v>292</v>
      </c>
      <c r="F554" s="9" t="s">
        <v>151</v>
      </c>
      <c r="G554" s="54">
        <v>2790</v>
      </c>
      <c r="H554" s="54">
        <f>251*2</f>
        <v>502</v>
      </c>
      <c r="I554" s="54">
        <f t="shared" si="19"/>
        <v>3292</v>
      </c>
      <c r="J554" s="54" t="e">
        <f>+#REF!+#REF!+#REF!+#REF!-2</f>
        <v>#REF!</v>
      </c>
      <c r="K554" s="8">
        <v>44854</v>
      </c>
    </row>
    <row r="555" spans="1:11" s="1" customFormat="1" ht="30" x14ac:dyDescent="0.2">
      <c r="A555" s="7">
        <v>11</v>
      </c>
      <c r="B555" s="38">
        <v>44834</v>
      </c>
      <c r="C555" s="9" t="s">
        <v>293</v>
      </c>
      <c r="D555" s="9" t="s">
        <v>252</v>
      </c>
      <c r="E555" s="9" t="s">
        <v>294</v>
      </c>
      <c r="F555" s="9" t="s">
        <v>295</v>
      </c>
      <c r="G555" s="54">
        <v>3800</v>
      </c>
      <c r="H555" s="54"/>
      <c r="I555" s="54">
        <f t="shared" si="19"/>
        <v>3800</v>
      </c>
      <c r="J555" s="54" t="e">
        <f>+#REF!+#REF!+#REF!+#REF!</f>
        <v>#REF!</v>
      </c>
      <c r="K555" s="8">
        <v>44846</v>
      </c>
    </row>
    <row r="556" spans="1:11" s="1" customFormat="1" ht="30" x14ac:dyDescent="0.2">
      <c r="A556" s="7">
        <v>12</v>
      </c>
      <c r="B556" s="38">
        <v>44846</v>
      </c>
      <c r="C556" s="9" t="s">
        <v>296</v>
      </c>
      <c r="D556" s="9" t="s">
        <v>252</v>
      </c>
      <c r="E556" s="9" t="s">
        <v>297</v>
      </c>
      <c r="F556" s="9" t="s">
        <v>298</v>
      </c>
      <c r="G556" s="54">
        <v>13300</v>
      </c>
      <c r="H556" s="54">
        <f>1197*2</f>
        <v>2394</v>
      </c>
      <c r="I556" s="54">
        <f t="shared" si="19"/>
        <v>15694</v>
      </c>
      <c r="J556" s="54" t="e">
        <f>+#REF!+#REF!+#REF!+#REF!</f>
        <v>#REF!</v>
      </c>
      <c r="K556" s="8">
        <v>44882</v>
      </c>
    </row>
    <row r="557" spans="1:11" s="1" customFormat="1" ht="120" x14ac:dyDescent="0.2">
      <c r="A557" s="7">
        <v>13</v>
      </c>
      <c r="B557" s="38">
        <v>44850</v>
      </c>
      <c r="C557" s="9" t="s">
        <v>299</v>
      </c>
      <c r="D557" s="9" t="s">
        <v>252</v>
      </c>
      <c r="E557" s="9" t="s">
        <v>742</v>
      </c>
      <c r="F557" s="9" t="s">
        <v>208</v>
      </c>
      <c r="G557" s="54">
        <v>5330.31</v>
      </c>
      <c r="H557" s="54">
        <f>480*2</f>
        <v>960</v>
      </c>
      <c r="I557" s="54">
        <f t="shared" si="19"/>
        <v>6290.31</v>
      </c>
      <c r="J557" s="54" t="e">
        <f>+#REF!+#REF!+#REF!+#REF!-0.3</f>
        <v>#REF!</v>
      </c>
      <c r="K557" s="8">
        <v>44877</v>
      </c>
    </row>
    <row r="558" spans="1:11" s="1" customFormat="1" ht="30" x14ac:dyDescent="0.2">
      <c r="A558" s="7">
        <v>14</v>
      </c>
      <c r="B558" s="38">
        <v>44850</v>
      </c>
      <c r="C558" s="9" t="s">
        <v>312</v>
      </c>
      <c r="D558" s="9" t="s">
        <v>252</v>
      </c>
      <c r="E558" s="9" t="s">
        <v>313</v>
      </c>
      <c r="F558" s="9" t="s">
        <v>314</v>
      </c>
      <c r="G558" s="54">
        <v>4800</v>
      </c>
      <c r="H558" s="54">
        <f>432*2</f>
        <v>864</v>
      </c>
      <c r="I558" s="54">
        <f t="shared" si="19"/>
        <v>5664</v>
      </c>
      <c r="J558" s="54" t="e">
        <f>+#REF!+#REF!+#REF!+#REF!</f>
        <v>#REF!</v>
      </c>
      <c r="K558" s="8">
        <v>44881</v>
      </c>
    </row>
    <row r="559" spans="1:11" s="1" customFormat="1" ht="75" x14ac:dyDescent="0.2">
      <c r="A559" s="7">
        <v>15</v>
      </c>
      <c r="B559" s="38">
        <v>44852</v>
      </c>
      <c r="C559" s="9" t="s">
        <v>315</v>
      </c>
      <c r="D559" s="9" t="s">
        <v>252</v>
      </c>
      <c r="E559" s="9" t="s">
        <v>316</v>
      </c>
      <c r="F559" s="9" t="s">
        <v>206</v>
      </c>
      <c r="G559" s="54">
        <v>7227</v>
      </c>
      <c r="H559" s="54">
        <f>650*2</f>
        <v>1300</v>
      </c>
      <c r="I559" s="54">
        <f t="shared" si="19"/>
        <v>8527</v>
      </c>
      <c r="J559" s="54" t="e">
        <f>+#REF!+#REF!+#REF!+#REF!+1</f>
        <v>#REF!</v>
      </c>
      <c r="K559" s="8">
        <v>44881</v>
      </c>
    </row>
    <row r="560" spans="1:11" s="1" customFormat="1" ht="45" x14ac:dyDescent="0.2">
      <c r="A560" s="7">
        <v>16</v>
      </c>
      <c r="B560" s="38">
        <v>44852</v>
      </c>
      <c r="C560" s="9" t="s">
        <v>317</v>
      </c>
      <c r="D560" s="9" t="s">
        <v>252</v>
      </c>
      <c r="E560" s="9" t="s">
        <v>318</v>
      </c>
      <c r="F560" s="9" t="s">
        <v>665</v>
      </c>
      <c r="G560" s="54">
        <v>6303.2</v>
      </c>
      <c r="H560" s="54">
        <f>882*2</f>
        <v>1764</v>
      </c>
      <c r="I560" s="54">
        <f t="shared" si="19"/>
        <v>8067.2</v>
      </c>
      <c r="J560" s="54" t="e">
        <f>+#REF!+#REF!+#REF!+#REF!-0.2</f>
        <v>#REF!</v>
      </c>
      <c r="K560" s="8">
        <v>44881</v>
      </c>
    </row>
    <row r="561" spans="1:11" s="1" customFormat="1" ht="30" x14ac:dyDescent="0.2">
      <c r="A561" s="7">
        <v>17</v>
      </c>
      <c r="B561" s="38">
        <v>44855</v>
      </c>
      <c r="C561" s="9"/>
      <c r="D561" s="9" t="s">
        <v>252</v>
      </c>
      <c r="E561" s="9" t="s">
        <v>321</v>
      </c>
      <c r="F561" s="9" t="s">
        <v>459</v>
      </c>
      <c r="G561" s="54">
        <v>2000</v>
      </c>
      <c r="H561" s="54">
        <v>0</v>
      </c>
      <c r="I561" s="54">
        <f t="shared" si="19"/>
        <v>2000</v>
      </c>
      <c r="J561" s="54" t="e">
        <f>+#REF!+#REF!+#REF!+#REF!</f>
        <v>#REF!</v>
      </c>
      <c r="K561" s="8">
        <v>44855</v>
      </c>
    </row>
    <row r="562" spans="1:11" s="1" customFormat="1" ht="45" x14ac:dyDescent="0.2">
      <c r="A562" s="7">
        <v>18</v>
      </c>
      <c r="B562" s="38">
        <v>44855</v>
      </c>
      <c r="C562" s="9">
        <v>72</v>
      </c>
      <c r="D562" s="9" t="s">
        <v>252</v>
      </c>
      <c r="E562" s="9" t="s">
        <v>940</v>
      </c>
      <c r="F562" s="9" t="s">
        <v>941</v>
      </c>
      <c r="G562" s="54">
        <v>30612</v>
      </c>
      <c r="H562" s="54">
        <f>2755+2755</f>
        <v>5510</v>
      </c>
      <c r="I562" s="54">
        <f t="shared" si="19"/>
        <v>36122</v>
      </c>
      <c r="J562" s="54" t="e">
        <f>+#REF!+#REF!+#REF!+#REF!</f>
        <v>#REF!</v>
      </c>
      <c r="K562" s="8">
        <v>44881</v>
      </c>
    </row>
    <row r="563" spans="1:11" s="1" customFormat="1" ht="45" x14ac:dyDescent="0.2">
      <c r="A563" s="7">
        <v>19</v>
      </c>
      <c r="B563" s="38">
        <v>44859</v>
      </c>
      <c r="C563" s="9" t="s">
        <v>942</v>
      </c>
      <c r="D563" s="9" t="s">
        <v>252</v>
      </c>
      <c r="E563" s="9" t="s">
        <v>943</v>
      </c>
      <c r="F563" s="9" t="s">
        <v>206</v>
      </c>
      <c r="G563" s="54">
        <v>37580</v>
      </c>
      <c r="H563" s="54">
        <f>3382+3382</f>
        <v>6764</v>
      </c>
      <c r="I563" s="54">
        <f t="shared" si="19"/>
        <v>44344</v>
      </c>
      <c r="J563" s="54" t="e">
        <f>+#REF!+#REF!+#REF!+#REF!</f>
        <v>#REF!</v>
      </c>
      <c r="K563" s="8">
        <v>44881</v>
      </c>
    </row>
    <row r="564" spans="1:11" s="1" customFormat="1" ht="45" x14ac:dyDescent="0.2">
      <c r="A564" s="7">
        <v>20</v>
      </c>
      <c r="B564" s="38">
        <v>44859</v>
      </c>
      <c r="C564" s="9" t="s">
        <v>322</v>
      </c>
      <c r="D564" s="9" t="s">
        <v>252</v>
      </c>
      <c r="E564" s="9" t="s">
        <v>323</v>
      </c>
      <c r="F564" s="9" t="s">
        <v>295</v>
      </c>
      <c r="G564" s="54">
        <v>20500</v>
      </c>
      <c r="H564" s="54">
        <v>0</v>
      </c>
      <c r="I564" s="54">
        <f t="shared" si="19"/>
        <v>20500</v>
      </c>
      <c r="J564" s="54" t="e">
        <f>+#REF!+#REF!+#REF!+#REF!</f>
        <v>#REF!</v>
      </c>
      <c r="K564" s="8" t="s">
        <v>1950</v>
      </c>
    </row>
    <row r="565" spans="1:11" s="1" customFormat="1" ht="60" x14ac:dyDescent="0.2">
      <c r="A565" s="7">
        <v>21</v>
      </c>
      <c r="B565" s="38">
        <v>44862</v>
      </c>
      <c r="C565" s="9" t="s">
        <v>974</v>
      </c>
      <c r="D565" s="9" t="s">
        <v>252</v>
      </c>
      <c r="E565" s="9" t="s">
        <v>975</v>
      </c>
      <c r="F565" s="9" t="s">
        <v>441</v>
      </c>
      <c r="G565" s="54">
        <v>52763.92</v>
      </c>
      <c r="H565" s="54">
        <f>4749+4749</f>
        <v>9498</v>
      </c>
      <c r="I565" s="54">
        <f t="shared" si="19"/>
        <v>62261.919999999998</v>
      </c>
      <c r="J565" s="54" t="e">
        <f>+#REF!+#REF!+#REF!+#REF!-0.92</f>
        <v>#REF!</v>
      </c>
      <c r="K565" s="8">
        <v>44881</v>
      </c>
    </row>
    <row r="566" spans="1:11" s="1" customFormat="1" ht="45" x14ac:dyDescent="0.2">
      <c r="A566" s="7">
        <v>22</v>
      </c>
      <c r="B566" s="38">
        <v>44868</v>
      </c>
      <c r="C566" s="9" t="s">
        <v>496</v>
      </c>
      <c r="D566" s="9" t="s">
        <v>252</v>
      </c>
      <c r="E566" s="9" t="s">
        <v>500</v>
      </c>
      <c r="F566" s="9" t="s">
        <v>151</v>
      </c>
      <c r="G566" s="54">
        <v>28469.7</v>
      </c>
      <c r="H566" s="54">
        <f>2562*2</f>
        <v>5124</v>
      </c>
      <c r="I566" s="54">
        <f t="shared" si="19"/>
        <v>33593.699999999997</v>
      </c>
      <c r="J566" s="54" t="e">
        <f>+#REF!+#REF!+#REF!+#REF!+0.3</f>
        <v>#REF!</v>
      </c>
      <c r="K566" s="8">
        <v>44895</v>
      </c>
    </row>
    <row r="567" spans="1:11" s="1" customFormat="1" ht="60" x14ac:dyDescent="0.2">
      <c r="A567" s="7">
        <v>23</v>
      </c>
      <c r="B567" s="38">
        <v>44868</v>
      </c>
      <c r="C567" s="9" t="s">
        <v>497</v>
      </c>
      <c r="D567" s="9" t="s">
        <v>252</v>
      </c>
      <c r="E567" s="9" t="s">
        <v>498</v>
      </c>
      <c r="F567" s="9" t="s">
        <v>151</v>
      </c>
      <c r="G567" s="54">
        <v>75040</v>
      </c>
      <c r="H567" s="54">
        <f>6754*2</f>
        <v>13508</v>
      </c>
      <c r="I567" s="54">
        <f t="shared" si="19"/>
        <v>88548</v>
      </c>
      <c r="J567" s="54" t="e">
        <f>+#REF!+#REF!+#REF!+#REF!-1</f>
        <v>#REF!</v>
      </c>
      <c r="K567" s="8">
        <v>44895</v>
      </c>
    </row>
    <row r="568" spans="1:11" s="1" customFormat="1" ht="60" x14ac:dyDescent="0.2">
      <c r="A568" s="7">
        <v>24</v>
      </c>
      <c r="B568" s="38">
        <v>44868</v>
      </c>
      <c r="C568" s="9" t="s">
        <v>499</v>
      </c>
      <c r="D568" s="9" t="s">
        <v>252</v>
      </c>
      <c r="E568" s="9" t="s">
        <v>501</v>
      </c>
      <c r="F568" s="9" t="s">
        <v>151</v>
      </c>
      <c r="G568" s="54">
        <v>49390</v>
      </c>
      <c r="H568" s="54">
        <f>4445*2</f>
        <v>8890</v>
      </c>
      <c r="I568" s="54">
        <f t="shared" si="19"/>
        <v>58280</v>
      </c>
      <c r="J568" s="54" t="e">
        <f>+#REF!+#REF!+#REF!+#REF!</f>
        <v>#REF!</v>
      </c>
      <c r="K568" s="8">
        <v>44895</v>
      </c>
    </row>
    <row r="569" spans="1:11" s="1" customFormat="1" ht="60" x14ac:dyDescent="0.2">
      <c r="A569" s="7">
        <v>25</v>
      </c>
      <c r="B569" s="38">
        <v>44868</v>
      </c>
      <c r="C569" s="9" t="s">
        <v>502</v>
      </c>
      <c r="D569" s="9" t="s">
        <v>252</v>
      </c>
      <c r="E569" s="9" t="s">
        <v>501</v>
      </c>
      <c r="F569" s="9" t="s">
        <v>151</v>
      </c>
      <c r="G569" s="54">
        <v>71510</v>
      </c>
      <c r="H569" s="54">
        <f>6436*2</f>
        <v>12872</v>
      </c>
      <c r="I569" s="54">
        <f t="shared" si="19"/>
        <v>84382</v>
      </c>
      <c r="J569" s="54" t="e">
        <f>+#REF!+#REF!+#REF!+#REF!</f>
        <v>#REF!</v>
      </c>
      <c r="K569" s="8">
        <v>44895</v>
      </c>
    </row>
    <row r="570" spans="1:11" s="1" customFormat="1" ht="60" x14ac:dyDescent="0.2">
      <c r="A570" s="7">
        <v>26</v>
      </c>
      <c r="B570" s="38">
        <v>44868</v>
      </c>
      <c r="C570" s="9" t="s">
        <v>503</v>
      </c>
      <c r="D570" s="9" t="s">
        <v>252</v>
      </c>
      <c r="E570" s="9" t="s">
        <v>504</v>
      </c>
      <c r="F570" s="9" t="s">
        <v>151</v>
      </c>
      <c r="G570" s="54">
        <v>14710</v>
      </c>
      <c r="H570" s="54">
        <f>1324*2</f>
        <v>2648</v>
      </c>
      <c r="I570" s="54">
        <f t="shared" si="19"/>
        <v>17358</v>
      </c>
      <c r="J570" s="54" t="e">
        <f>+#REF!+#REF!+#REF!+#REF!</f>
        <v>#REF!</v>
      </c>
      <c r="K570" s="8">
        <v>44895</v>
      </c>
    </row>
    <row r="571" spans="1:11" s="1" customFormat="1" ht="45" x14ac:dyDescent="0.2">
      <c r="A571" s="7">
        <v>27</v>
      </c>
      <c r="B571" s="38">
        <v>44868</v>
      </c>
      <c r="C571" s="9" t="s">
        <v>505</v>
      </c>
      <c r="D571" s="9" t="s">
        <v>252</v>
      </c>
      <c r="E571" s="9" t="s">
        <v>506</v>
      </c>
      <c r="F571" s="9" t="s">
        <v>151</v>
      </c>
      <c r="G571" s="54">
        <v>63379</v>
      </c>
      <c r="H571" s="54">
        <f>5704*2</f>
        <v>11408</v>
      </c>
      <c r="I571" s="54">
        <f t="shared" si="19"/>
        <v>74787</v>
      </c>
      <c r="J571" s="54" t="e">
        <f>+#REF!+#REF!+#REF!+#REF!</f>
        <v>#REF!</v>
      </c>
      <c r="K571" s="8">
        <v>44895</v>
      </c>
    </row>
    <row r="572" spans="1:11" s="1" customFormat="1" ht="60" x14ac:dyDescent="0.2">
      <c r="A572" s="7">
        <v>28</v>
      </c>
      <c r="B572" s="38">
        <v>44868</v>
      </c>
      <c r="C572" s="9" t="s">
        <v>507</v>
      </c>
      <c r="D572" s="9" t="s">
        <v>252</v>
      </c>
      <c r="E572" s="9" t="s">
        <v>508</v>
      </c>
      <c r="F572" s="9" t="s">
        <v>151</v>
      </c>
      <c r="G572" s="54">
        <v>58004.5</v>
      </c>
      <c r="H572" s="54">
        <f>5220*2</f>
        <v>10440</v>
      </c>
      <c r="I572" s="54">
        <f t="shared" si="19"/>
        <v>68444.5</v>
      </c>
      <c r="J572" s="54" t="e">
        <f>+#REF!+#REF!+#REF!+#REF!+0.5+0.5</f>
        <v>#REF!</v>
      </c>
      <c r="K572" s="8">
        <v>44895</v>
      </c>
    </row>
    <row r="573" spans="1:11" s="1" customFormat="1" ht="90" x14ac:dyDescent="0.2">
      <c r="A573" s="7">
        <v>29</v>
      </c>
      <c r="B573" s="38">
        <v>44868</v>
      </c>
      <c r="C573" s="9" t="s">
        <v>509</v>
      </c>
      <c r="D573" s="9" t="s">
        <v>252</v>
      </c>
      <c r="E573" s="9" t="s">
        <v>510</v>
      </c>
      <c r="F573" s="9" t="s">
        <v>151</v>
      </c>
      <c r="G573" s="54">
        <v>35334</v>
      </c>
      <c r="H573" s="54">
        <f>3180*2</f>
        <v>6360</v>
      </c>
      <c r="I573" s="54">
        <f t="shared" si="19"/>
        <v>41694</v>
      </c>
      <c r="J573" s="54" t="e">
        <f>+#REF!+#REF!+#REF!+#REF!</f>
        <v>#REF!</v>
      </c>
      <c r="K573" s="8">
        <v>44895</v>
      </c>
    </row>
    <row r="574" spans="1:11" s="1" customFormat="1" ht="45" x14ac:dyDescent="0.2">
      <c r="A574" s="7">
        <v>30</v>
      </c>
      <c r="B574" s="38">
        <v>44880</v>
      </c>
      <c r="C574" s="9" t="s">
        <v>511</v>
      </c>
      <c r="D574" s="9" t="s">
        <v>252</v>
      </c>
      <c r="E574" s="9" t="s">
        <v>512</v>
      </c>
      <c r="F574" s="9" t="s">
        <v>151</v>
      </c>
      <c r="G574" s="54">
        <v>900</v>
      </c>
      <c r="H574" s="54">
        <f>81*2</f>
        <v>162</v>
      </c>
      <c r="I574" s="54">
        <f t="shared" si="19"/>
        <v>1062</v>
      </c>
      <c r="J574" s="54" t="e">
        <f>+#REF!+#REF!+#REF!+#REF!</f>
        <v>#REF!</v>
      </c>
      <c r="K574" s="8">
        <v>44895</v>
      </c>
    </row>
    <row r="575" spans="1:11" s="1" customFormat="1" ht="90" x14ac:dyDescent="0.2">
      <c r="A575" s="7">
        <v>31</v>
      </c>
      <c r="B575" s="38">
        <v>44888</v>
      </c>
      <c r="C575" s="9" t="s">
        <v>513</v>
      </c>
      <c r="D575" s="9" t="s">
        <v>252</v>
      </c>
      <c r="E575" s="9" t="s">
        <v>514</v>
      </c>
      <c r="F575" s="9" t="s">
        <v>151</v>
      </c>
      <c r="G575" s="54">
        <v>62174.23</v>
      </c>
      <c r="H575" s="54">
        <f>5596*2</f>
        <v>11192</v>
      </c>
      <c r="I575" s="54">
        <f t="shared" si="19"/>
        <v>73366.23000000001</v>
      </c>
      <c r="J575" s="54" t="e">
        <f>+#REF!+#REF!+#REF!+#REF!-0.23</f>
        <v>#REF!</v>
      </c>
      <c r="K575" s="8">
        <v>44895</v>
      </c>
    </row>
    <row r="576" spans="1:11" s="1" customFormat="1" ht="120" x14ac:dyDescent="0.2">
      <c r="A576" s="7">
        <v>32</v>
      </c>
      <c r="B576" s="38">
        <v>44893</v>
      </c>
      <c r="C576" s="9" t="s">
        <v>517</v>
      </c>
      <c r="D576" s="9" t="s">
        <v>252</v>
      </c>
      <c r="E576" s="9" t="s">
        <v>518</v>
      </c>
      <c r="F576" s="9" t="s">
        <v>151</v>
      </c>
      <c r="G576" s="54">
        <v>70600</v>
      </c>
      <c r="H576" s="54">
        <f>6354*2</f>
        <v>12708</v>
      </c>
      <c r="I576" s="54">
        <f t="shared" si="19"/>
        <v>83308</v>
      </c>
      <c r="J576" s="54" t="e">
        <f>+#REF!+#REF!+#REF!+#REF!</f>
        <v>#REF!</v>
      </c>
      <c r="K576" s="8">
        <v>44908</v>
      </c>
    </row>
    <row r="577" spans="1:11" s="1" customFormat="1" ht="45" x14ac:dyDescent="0.2">
      <c r="A577" s="7">
        <v>33</v>
      </c>
      <c r="B577" s="38">
        <v>44893</v>
      </c>
      <c r="C577" s="9"/>
      <c r="D577" s="9" t="s">
        <v>252</v>
      </c>
      <c r="E577" s="9" t="s">
        <v>520</v>
      </c>
      <c r="F577" s="9" t="s">
        <v>519</v>
      </c>
      <c r="G577" s="54">
        <v>6000</v>
      </c>
      <c r="H577" s="54">
        <v>0</v>
      </c>
      <c r="I577" s="54">
        <f t="shared" ref="I577:I608" si="20">+G577+H577</f>
        <v>6000</v>
      </c>
      <c r="J577" s="54" t="e">
        <f>+#REF!+#REF!+#REF!+#REF!</f>
        <v>#REF!</v>
      </c>
      <c r="K577" s="38">
        <v>44893</v>
      </c>
    </row>
    <row r="578" spans="1:11" s="1" customFormat="1" ht="60" x14ac:dyDescent="0.2">
      <c r="A578" s="7">
        <v>34</v>
      </c>
      <c r="B578" s="38">
        <v>44893</v>
      </c>
      <c r="C578" s="9" t="s">
        <v>521</v>
      </c>
      <c r="D578" s="9" t="s">
        <v>252</v>
      </c>
      <c r="E578" s="9" t="s">
        <v>522</v>
      </c>
      <c r="F578" s="9" t="s">
        <v>523</v>
      </c>
      <c r="G578" s="54">
        <v>9627.18</v>
      </c>
      <c r="H578" s="54">
        <f>866*2</f>
        <v>1732</v>
      </c>
      <c r="I578" s="54">
        <f t="shared" si="20"/>
        <v>11359.18</v>
      </c>
      <c r="J578" s="54" t="e">
        <f>+#REF!+#REF!+#REF!+#REF!-0.18</f>
        <v>#REF!</v>
      </c>
      <c r="K578" s="8">
        <v>44908</v>
      </c>
    </row>
    <row r="579" spans="1:11" s="1" customFormat="1" ht="45" x14ac:dyDescent="0.2">
      <c r="A579" s="7">
        <v>35</v>
      </c>
      <c r="B579" s="38">
        <v>44780</v>
      </c>
      <c r="C579" s="9">
        <v>6143</v>
      </c>
      <c r="D579" s="9" t="s">
        <v>252</v>
      </c>
      <c r="E579" s="9" t="s">
        <v>90</v>
      </c>
      <c r="F579" s="9" t="s">
        <v>91</v>
      </c>
      <c r="G579" s="54">
        <v>5000</v>
      </c>
      <c r="H579" s="54">
        <v>0</v>
      </c>
      <c r="I579" s="54">
        <f t="shared" si="20"/>
        <v>5000</v>
      </c>
      <c r="J579" s="54" t="e">
        <f>+#REF!+#REF!+#REF!+#REF!</f>
        <v>#REF!</v>
      </c>
      <c r="K579" s="8">
        <v>44780</v>
      </c>
    </row>
    <row r="580" spans="1:11" s="1" customFormat="1" ht="30" x14ac:dyDescent="0.2">
      <c r="A580" s="7">
        <v>36</v>
      </c>
      <c r="B580" s="38">
        <v>44762</v>
      </c>
      <c r="C580" s="9" t="s">
        <v>107</v>
      </c>
      <c r="D580" s="9" t="s">
        <v>252</v>
      </c>
      <c r="E580" s="9" t="s">
        <v>108</v>
      </c>
      <c r="F580" s="9" t="s">
        <v>109</v>
      </c>
      <c r="G580" s="54">
        <v>26000</v>
      </c>
      <c r="H580" s="54">
        <v>0</v>
      </c>
      <c r="I580" s="54">
        <f t="shared" si="20"/>
        <v>26000</v>
      </c>
      <c r="J580" s="54" t="e">
        <f>+#REF!+#REF!+#REF!+#REF!</f>
        <v>#REF!</v>
      </c>
      <c r="K580" s="8">
        <v>44770</v>
      </c>
    </row>
    <row r="581" spans="1:11" s="1" customFormat="1" ht="45" x14ac:dyDescent="0.2">
      <c r="A581" s="7">
        <v>37</v>
      </c>
      <c r="B581" s="38">
        <v>44803</v>
      </c>
      <c r="C581" s="9" t="s">
        <v>149</v>
      </c>
      <c r="D581" s="9" t="s">
        <v>252</v>
      </c>
      <c r="E581" s="9" t="s">
        <v>150</v>
      </c>
      <c r="F581" s="9" t="s">
        <v>151</v>
      </c>
      <c r="G581" s="54">
        <v>118580</v>
      </c>
      <c r="H581" s="54">
        <f>10672*2</f>
        <v>21344</v>
      </c>
      <c r="I581" s="54">
        <f t="shared" si="20"/>
        <v>139924</v>
      </c>
      <c r="J581" s="54" t="e">
        <f>+#REF!+#REF!+#REF!+#REF!</f>
        <v>#REF!</v>
      </c>
      <c r="K581" s="8">
        <v>44826</v>
      </c>
    </row>
    <row r="582" spans="1:11" s="1" customFormat="1" ht="45" x14ac:dyDescent="0.2">
      <c r="A582" s="7">
        <v>38</v>
      </c>
      <c r="B582" s="38">
        <v>44803</v>
      </c>
      <c r="C582" s="9" t="s">
        <v>152</v>
      </c>
      <c r="D582" s="9" t="s">
        <v>252</v>
      </c>
      <c r="E582" s="9" t="s">
        <v>153</v>
      </c>
      <c r="F582" s="9" t="s">
        <v>151</v>
      </c>
      <c r="G582" s="54">
        <v>1960</v>
      </c>
      <c r="H582" s="54">
        <f>176*2</f>
        <v>352</v>
      </c>
      <c r="I582" s="54">
        <f t="shared" si="20"/>
        <v>2312</v>
      </c>
      <c r="J582" s="54" t="e">
        <f>+#REF!+#REF!+#REF!+#REF!</f>
        <v>#REF!</v>
      </c>
      <c r="K582" s="8">
        <v>44826</v>
      </c>
    </row>
    <row r="583" spans="1:11" s="1" customFormat="1" ht="45" x14ac:dyDescent="0.2">
      <c r="A583" s="7">
        <v>39</v>
      </c>
      <c r="B583" s="38">
        <v>44751</v>
      </c>
      <c r="C583" s="9" t="s">
        <v>165</v>
      </c>
      <c r="D583" s="9" t="s">
        <v>252</v>
      </c>
      <c r="E583" s="9" t="s">
        <v>166</v>
      </c>
      <c r="F583" s="9" t="s">
        <v>36</v>
      </c>
      <c r="G583" s="54">
        <v>56000</v>
      </c>
      <c r="H583" s="54">
        <v>0</v>
      </c>
      <c r="I583" s="54">
        <f t="shared" si="20"/>
        <v>56000</v>
      </c>
      <c r="J583" s="54" t="e">
        <f>+#REF!+#REF!+#REF!+#REF!</f>
        <v>#REF!</v>
      </c>
      <c r="K583" s="8">
        <v>44758</v>
      </c>
    </row>
    <row r="584" spans="1:11" s="1" customFormat="1" ht="45" x14ac:dyDescent="0.2">
      <c r="A584" s="7">
        <v>40</v>
      </c>
      <c r="B584" s="38">
        <v>44781</v>
      </c>
      <c r="C584" s="9"/>
      <c r="D584" s="9" t="s">
        <v>252</v>
      </c>
      <c r="E584" s="9" t="s">
        <v>173</v>
      </c>
      <c r="F584" s="9" t="s">
        <v>70</v>
      </c>
      <c r="G584" s="54">
        <v>6400</v>
      </c>
      <c r="H584" s="54">
        <v>0</v>
      </c>
      <c r="I584" s="54">
        <f t="shared" si="20"/>
        <v>6400</v>
      </c>
      <c r="J584" s="54" t="e">
        <f>+#REF!+#REF!+#REF!+#REF!</f>
        <v>#REF!</v>
      </c>
      <c r="K584" s="38">
        <v>44781</v>
      </c>
    </row>
    <row r="585" spans="1:11" s="1" customFormat="1" ht="30" x14ac:dyDescent="0.2">
      <c r="A585" s="7">
        <v>41</v>
      </c>
      <c r="B585" s="38">
        <v>44781</v>
      </c>
      <c r="C585" s="9"/>
      <c r="D585" s="9" t="s">
        <v>252</v>
      </c>
      <c r="E585" s="9" t="s">
        <v>174</v>
      </c>
      <c r="F585" s="9" t="s">
        <v>70</v>
      </c>
      <c r="G585" s="54">
        <v>1000</v>
      </c>
      <c r="H585" s="54">
        <v>0</v>
      </c>
      <c r="I585" s="54">
        <f t="shared" si="20"/>
        <v>1000</v>
      </c>
      <c r="J585" s="54" t="e">
        <f>+#REF!+#REF!+#REF!+#REF!</f>
        <v>#REF!</v>
      </c>
      <c r="K585" s="38">
        <v>44781</v>
      </c>
    </row>
    <row r="586" spans="1:11" s="1" customFormat="1" ht="45" x14ac:dyDescent="0.2">
      <c r="A586" s="7">
        <v>42</v>
      </c>
      <c r="B586" s="38">
        <v>44695</v>
      </c>
      <c r="C586" s="9" t="s">
        <v>110</v>
      </c>
      <c r="D586" s="9" t="s">
        <v>252</v>
      </c>
      <c r="E586" s="9" t="s">
        <v>111</v>
      </c>
      <c r="F586" s="9" t="s">
        <v>39</v>
      </c>
      <c r="G586" s="54">
        <v>192208</v>
      </c>
      <c r="H586" s="54">
        <v>34598</v>
      </c>
      <c r="I586" s="54">
        <f t="shared" si="20"/>
        <v>226806</v>
      </c>
      <c r="J586" s="54" t="e">
        <f>+#REF!+#REF!+#REF!+#REF!-1</f>
        <v>#REF!</v>
      </c>
      <c r="K586" s="8">
        <v>44734</v>
      </c>
    </row>
    <row r="587" spans="1:11" s="1" customFormat="1" ht="30" x14ac:dyDescent="0.2">
      <c r="A587" s="7">
        <v>43</v>
      </c>
      <c r="B587" s="38">
        <v>44762</v>
      </c>
      <c r="C587" s="9" t="s">
        <v>112</v>
      </c>
      <c r="D587" s="9" t="s">
        <v>252</v>
      </c>
      <c r="E587" s="9" t="s">
        <v>113</v>
      </c>
      <c r="F587" s="9" t="s">
        <v>39</v>
      </c>
      <c r="G587" s="54">
        <v>39729</v>
      </c>
      <c r="H587" s="54">
        <v>7152</v>
      </c>
      <c r="I587" s="54">
        <f t="shared" si="20"/>
        <v>46881</v>
      </c>
      <c r="J587" s="54" t="e">
        <f>+#REF!+#REF!+#REF!+#REF!-1</f>
        <v>#REF!</v>
      </c>
      <c r="K587" s="8">
        <v>44803</v>
      </c>
    </row>
    <row r="588" spans="1:11" s="1" customFormat="1" ht="75" x14ac:dyDescent="0.2">
      <c r="A588" s="7">
        <v>44</v>
      </c>
      <c r="B588" s="38">
        <v>44632</v>
      </c>
      <c r="C588" s="9" t="s">
        <v>405</v>
      </c>
      <c r="D588" s="9" t="s">
        <v>252</v>
      </c>
      <c r="E588" s="9" t="s">
        <v>406</v>
      </c>
      <c r="F588" s="9" t="s">
        <v>151</v>
      </c>
      <c r="G588" s="54">
        <v>2278030</v>
      </c>
      <c r="H588" s="54">
        <f>205023*2</f>
        <v>410046</v>
      </c>
      <c r="I588" s="54">
        <f t="shared" si="20"/>
        <v>2688076</v>
      </c>
      <c r="J588" s="54" t="e">
        <f>+#REF!+#REF!+#REF!+#REF!-1</f>
        <v>#REF!</v>
      </c>
      <c r="K588" s="8" t="s">
        <v>2009</v>
      </c>
    </row>
    <row r="589" spans="1:11" s="1" customFormat="1" ht="45" x14ac:dyDescent="0.2">
      <c r="A589" s="7">
        <v>45</v>
      </c>
      <c r="B589" s="38">
        <v>44867</v>
      </c>
      <c r="C589" s="9" t="s">
        <v>412</v>
      </c>
      <c r="D589" s="9" t="s">
        <v>252</v>
      </c>
      <c r="E589" s="9" t="s">
        <v>413</v>
      </c>
      <c r="F589" s="9" t="s">
        <v>89</v>
      </c>
      <c r="G589" s="54">
        <v>55000</v>
      </c>
      <c r="H589" s="54">
        <f>4950*2</f>
        <v>9900</v>
      </c>
      <c r="I589" s="54">
        <f t="shared" si="20"/>
        <v>64900</v>
      </c>
      <c r="J589" s="54" t="e">
        <f>+#REF!+#REF!+#REF!+#REF!</f>
        <v>#REF!</v>
      </c>
      <c r="K589" s="8">
        <v>44747</v>
      </c>
    </row>
    <row r="590" spans="1:11" s="1" customFormat="1" ht="30" x14ac:dyDescent="0.2">
      <c r="A590" s="7">
        <v>46</v>
      </c>
      <c r="B590" s="38">
        <v>44706</v>
      </c>
      <c r="C590" s="9"/>
      <c r="D590" s="9" t="s">
        <v>252</v>
      </c>
      <c r="E590" s="9" t="s">
        <v>198</v>
      </c>
      <c r="F590" s="9" t="s">
        <v>199</v>
      </c>
      <c r="G590" s="54">
        <v>7400</v>
      </c>
      <c r="H590" s="54">
        <v>0</v>
      </c>
      <c r="I590" s="54">
        <f t="shared" si="20"/>
        <v>7400</v>
      </c>
      <c r="J590" s="54" t="e">
        <f>+#REF!+#REF!+#REF!+#REF!</f>
        <v>#REF!</v>
      </c>
      <c r="K590" s="38">
        <v>44706</v>
      </c>
    </row>
    <row r="591" spans="1:11" s="1" customFormat="1" ht="30" x14ac:dyDescent="0.2">
      <c r="A591" s="7">
        <v>47</v>
      </c>
      <c r="B591" s="38">
        <v>44662</v>
      </c>
      <c r="C591" s="9" t="s">
        <v>906</v>
      </c>
      <c r="D591" s="9" t="s">
        <v>252</v>
      </c>
      <c r="E591" s="9" t="s">
        <v>907</v>
      </c>
      <c r="F591" s="9" t="s">
        <v>206</v>
      </c>
      <c r="G591" s="54">
        <v>5684</v>
      </c>
      <c r="H591" s="54">
        <f>512+512</f>
        <v>1024</v>
      </c>
      <c r="I591" s="54">
        <f t="shared" si="20"/>
        <v>6708</v>
      </c>
      <c r="J591" s="54" t="e">
        <f>+#REF!+#REF!+#REF!+#REF!-1</f>
        <v>#REF!</v>
      </c>
      <c r="K591" s="38">
        <v>44720</v>
      </c>
    </row>
    <row r="592" spans="1:11" s="1" customFormat="1" ht="30" x14ac:dyDescent="0.2">
      <c r="A592" s="7">
        <v>48</v>
      </c>
      <c r="B592" s="38">
        <v>44730</v>
      </c>
      <c r="C592" s="9"/>
      <c r="D592" s="9" t="s">
        <v>252</v>
      </c>
      <c r="E592" s="9" t="s">
        <v>200</v>
      </c>
      <c r="F592" s="9" t="s">
        <v>70</v>
      </c>
      <c r="G592" s="54">
        <v>10000</v>
      </c>
      <c r="H592" s="54">
        <v>0</v>
      </c>
      <c r="I592" s="54">
        <f t="shared" si="20"/>
        <v>10000</v>
      </c>
      <c r="J592" s="54" t="e">
        <f>+#REF!+#REF!+#REF!+#REF!</f>
        <v>#REF!</v>
      </c>
      <c r="K592" s="38">
        <v>44730</v>
      </c>
    </row>
    <row r="593" spans="1:11" s="1" customFormat="1" ht="45" x14ac:dyDescent="0.2">
      <c r="A593" s="7">
        <v>49</v>
      </c>
      <c r="B593" s="38">
        <v>44728</v>
      </c>
      <c r="C593" s="9"/>
      <c r="D593" s="9" t="s">
        <v>252</v>
      </c>
      <c r="E593" s="9" t="s">
        <v>201</v>
      </c>
      <c r="F593" s="9" t="s">
        <v>202</v>
      </c>
      <c r="G593" s="54">
        <v>500</v>
      </c>
      <c r="H593" s="54">
        <v>0</v>
      </c>
      <c r="I593" s="54">
        <f t="shared" si="20"/>
        <v>500</v>
      </c>
      <c r="J593" s="54" t="e">
        <f>+#REF!+#REF!+#REF!+#REF!</f>
        <v>#REF!</v>
      </c>
      <c r="K593" s="38">
        <v>44728</v>
      </c>
    </row>
    <row r="594" spans="1:11" s="1" customFormat="1" ht="30" customHeight="1" x14ac:dyDescent="0.2">
      <c r="A594" s="7">
        <v>50</v>
      </c>
      <c r="B594" s="38">
        <v>44729</v>
      </c>
      <c r="C594" s="9"/>
      <c r="D594" s="9" t="s">
        <v>252</v>
      </c>
      <c r="E594" s="9" t="s">
        <v>203</v>
      </c>
      <c r="F594" s="9" t="s">
        <v>202</v>
      </c>
      <c r="G594" s="54">
        <v>700</v>
      </c>
      <c r="H594" s="54">
        <v>0</v>
      </c>
      <c r="I594" s="54">
        <f t="shared" si="20"/>
        <v>700</v>
      </c>
      <c r="J594" s="54" t="e">
        <f>+#REF!+#REF!+#REF!+#REF!</f>
        <v>#REF!</v>
      </c>
      <c r="K594" s="38">
        <v>44729</v>
      </c>
    </row>
    <row r="595" spans="1:11" s="1" customFormat="1" ht="60" x14ac:dyDescent="0.2">
      <c r="A595" s="7">
        <v>51</v>
      </c>
      <c r="B595" s="38">
        <v>44713</v>
      </c>
      <c r="C595" s="9" t="s">
        <v>135</v>
      </c>
      <c r="D595" s="9" t="s">
        <v>252</v>
      </c>
      <c r="E595" s="9" t="s">
        <v>136</v>
      </c>
      <c r="F595" s="9" t="s">
        <v>145</v>
      </c>
      <c r="G595" s="54">
        <v>14800</v>
      </c>
      <c r="H595" s="54">
        <v>2664</v>
      </c>
      <c r="I595" s="54">
        <f t="shared" si="20"/>
        <v>17464</v>
      </c>
      <c r="J595" s="54" t="e">
        <f>+#REF!+#REF!+#REF!+#REF!</f>
        <v>#REF!</v>
      </c>
      <c r="K595" s="8">
        <v>44729</v>
      </c>
    </row>
    <row r="596" spans="1:11" s="1" customFormat="1" ht="75" x14ac:dyDescent="0.2">
      <c r="A596" s="7">
        <v>52</v>
      </c>
      <c r="B596" s="38">
        <v>44733</v>
      </c>
      <c r="C596" s="9">
        <v>25</v>
      </c>
      <c r="D596" s="9" t="s">
        <v>252</v>
      </c>
      <c r="E596" s="9" t="s">
        <v>137</v>
      </c>
      <c r="F596" s="9" t="s">
        <v>145</v>
      </c>
      <c r="G596" s="54">
        <v>187400</v>
      </c>
      <c r="H596" s="54">
        <v>33732</v>
      </c>
      <c r="I596" s="54">
        <f t="shared" si="20"/>
        <v>221132</v>
      </c>
      <c r="J596" s="54" t="e">
        <f>+#REF!+#REF!+#REF!+#REF!</f>
        <v>#REF!</v>
      </c>
      <c r="K596" s="8">
        <v>44736</v>
      </c>
    </row>
    <row r="597" spans="1:11" s="1" customFormat="1" ht="60" x14ac:dyDescent="0.2">
      <c r="A597" s="7">
        <v>53</v>
      </c>
      <c r="B597" s="38">
        <v>44803</v>
      </c>
      <c r="C597" s="9" t="s">
        <v>227</v>
      </c>
      <c r="D597" s="9" t="s">
        <v>252</v>
      </c>
      <c r="E597" s="9" t="s">
        <v>228</v>
      </c>
      <c r="F597" s="9" t="s">
        <v>151</v>
      </c>
      <c r="G597" s="54">
        <v>73940</v>
      </c>
      <c r="H597" s="54">
        <v>13310</v>
      </c>
      <c r="I597" s="54">
        <f t="shared" si="20"/>
        <v>87250</v>
      </c>
      <c r="J597" s="54" t="e">
        <f>+#REF!+#REF!+#REF!+#REF!</f>
        <v>#REF!</v>
      </c>
      <c r="K597" s="8">
        <v>44826</v>
      </c>
    </row>
    <row r="598" spans="1:11" s="1" customFormat="1" ht="30" x14ac:dyDescent="0.2">
      <c r="A598" s="7">
        <v>54</v>
      </c>
      <c r="B598" s="38">
        <v>44678</v>
      </c>
      <c r="C598" s="9"/>
      <c r="D598" s="9" t="s">
        <v>252</v>
      </c>
      <c r="E598" s="9" t="s">
        <v>231</v>
      </c>
      <c r="F598" s="9" t="s">
        <v>232</v>
      </c>
      <c r="G598" s="54">
        <v>7300</v>
      </c>
      <c r="H598" s="54">
        <v>0</v>
      </c>
      <c r="I598" s="54">
        <f t="shared" si="20"/>
        <v>7300</v>
      </c>
      <c r="J598" s="54" t="e">
        <f>+#REF!+#REF!+#REF!+#REF!</f>
        <v>#REF!</v>
      </c>
      <c r="K598" s="38">
        <v>44678</v>
      </c>
    </row>
    <row r="599" spans="1:11" s="1" customFormat="1" ht="75" x14ac:dyDescent="0.2">
      <c r="A599" s="7">
        <v>55</v>
      </c>
      <c r="B599" s="38">
        <v>44851</v>
      </c>
      <c r="C599" s="9" t="s">
        <v>239</v>
      </c>
      <c r="D599" s="9" t="s">
        <v>252</v>
      </c>
      <c r="E599" s="9" t="s">
        <v>240</v>
      </c>
      <c r="F599" s="9" t="s">
        <v>116</v>
      </c>
      <c r="G599" s="54">
        <v>42190</v>
      </c>
      <c r="H599" s="54">
        <f>3797*2</f>
        <v>7594</v>
      </c>
      <c r="I599" s="54">
        <f t="shared" si="20"/>
        <v>49784</v>
      </c>
      <c r="J599" s="54" t="e">
        <f>+#REF!+#REF!+#REF!+#REF!</f>
        <v>#REF!</v>
      </c>
      <c r="K599" s="8">
        <v>44882</v>
      </c>
    </row>
    <row r="600" spans="1:11" s="1" customFormat="1" ht="60" x14ac:dyDescent="0.2">
      <c r="A600" s="7">
        <v>56</v>
      </c>
      <c r="B600" s="38">
        <v>44724</v>
      </c>
      <c r="C600" s="9" t="s">
        <v>273</v>
      </c>
      <c r="D600" s="9" t="s">
        <v>252</v>
      </c>
      <c r="E600" s="9" t="s">
        <v>274</v>
      </c>
      <c r="F600" s="9" t="s">
        <v>275</v>
      </c>
      <c r="G600" s="54">
        <v>2850000</v>
      </c>
      <c r="H600" s="54">
        <v>513000</v>
      </c>
      <c r="I600" s="54">
        <f t="shared" si="20"/>
        <v>3363000</v>
      </c>
      <c r="J600" s="54" t="e">
        <f>+#REF!+#REF!+#REF!+#REF!</f>
        <v>#REF!</v>
      </c>
      <c r="K600" s="8" t="s">
        <v>1925</v>
      </c>
    </row>
    <row r="601" spans="1:11" s="1" customFormat="1" ht="30" x14ac:dyDescent="0.2">
      <c r="A601" s="7">
        <v>57</v>
      </c>
      <c r="B601" s="38">
        <v>44722</v>
      </c>
      <c r="C601" s="9" t="s">
        <v>722</v>
      </c>
      <c r="D601" s="9" t="s">
        <v>252</v>
      </c>
      <c r="E601" s="9" t="s">
        <v>723</v>
      </c>
      <c r="F601" s="9" t="s">
        <v>275</v>
      </c>
      <c r="G601" s="54">
        <v>30000</v>
      </c>
      <c r="H601" s="54">
        <v>5400</v>
      </c>
      <c r="I601" s="54">
        <f t="shared" si="20"/>
        <v>35400</v>
      </c>
      <c r="J601" s="54" t="e">
        <f>+#REF!+#REF!+#REF!+#REF!</f>
        <v>#REF!</v>
      </c>
      <c r="K601" s="8">
        <v>45094</v>
      </c>
    </row>
    <row r="602" spans="1:11" s="1" customFormat="1" ht="45" x14ac:dyDescent="0.2">
      <c r="A602" s="7">
        <v>58</v>
      </c>
      <c r="B602" s="38">
        <v>44728</v>
      </c>
      <c r="C602" s="9" t="s">
        <v>250</v>
      </c>
      <c r="D602" s="9" t="s">
        <v>252</v>
      </c>
      <c r="E602" s="9" t="s">
        <v>595</v>
      </c>
      <c r="F602" s="9" t="s">
        <v>84</v>
      </c>
      <c r="G602" s="54">
        <v>338712</v>
      </c>
      <c r="H602" s="54">
        <v>60968</v>
      </c>
      <c r="I602" s="54">
        <f t="shared" si="20"/>
        <v>399680</v>
      </c>
      <c r="J602" s="54" t="e">
        <f>+#REF!+#REF!+#REF!+#REF!</f>
        <v>#REF!</v>
      </c>
      <c r="K602" s="8">
        <v>44722</v>
      </c>
    </row>
    <row r="603" spans="1:11" s="1" customFormat="1" ht="30" x14ac:dyDescent="0.2">
      <c r="A603" s="7">
        <v>59</v>
      </c>
      <c r="B603" s="38">
        <v>44728</v>
      </c>
      <c r="C603" s="9" t="s">
        <v>635</v>
      </c>
      <c r="D603" s="9" t="s">
        <v>252</v>
      </c>
      <c r="E603" s="9" t="s">
        <v>914</v>
      </c>
      <c r="F603" s="9" t="s">
        <v>915</v>
      </c>
      <c r="G603" s="54">
        <v>5150</v>
      </c>
      <c r="H603" s="54">
        <v>0</v>
      </c>
      <c r="I603" s="54">
        <f t="shared" si="20"/>
        <v>5150</v>
      </c>
      <c r="J603" s="54" t="e">
        <f>+#REF!+#REF!+#REF!+#REF!</f>
        <v>#REF!</v>
      </c>
      <c r="K603" s="38">
        <v>44728</v>
      </c>
    </row>
    <row r="604" spans="1:11" s="1" customFormat="1" ht="45" x14ac:dyDescent="0.2">
      <c r="A604" s="7">
        <v>60</v>
      </c>
      <c r="B604" s="38">
        <v>44736</v>
      </c>
      <c r="C604" s="9" t="s">
        <v>931</v>
      </c>
      <c r="D604" s="9" t="s">
        <v>252</v>
      </c>
      <c r="E604" s="9" t="s">
        <v>932</v>
      </c>
      <c r="F604" s="9" t="s">
        <v>84</v>
      </c>
      <c r="G604" s="54">
        <v>32000</v>
      </c>
      <c r="H604" s="54">
        <v>5760</v>
      </c>
      <c r="I604" s="54">
        <f t="shared" si="20"/>
        <v>37760</v>
      </c>
      <c r="J604" s="54" t="e">
        <f>+#REF!+#REF!+#REF!+#REF!</f>
        <v>#REF!</v>
      </c>
      <c r="K604" s="8">
        <v>44764</v>
      </c>
    </row>
    <row r="605" spans="1:11" s="1" customFormat="1" ht="45" x14ac:dyDescent="0.2">
      <c r="A605" s="7">
        <v>61</v>
      </c>
      <c r="B605" s="38">
        <v>44736</v>
      </c>
      <c r="C605" s="9" t="s">
        <v>993</v>
      </c>
      <c r="D605" s="9" t="s">
        <v>252</v>
      </c>
      <c r="E605" s="9" t="s">
        <v>994</v>
      </c>
      <c r="F605" s="9" t="s">
        <v>84</v>
      </c>
      <c r="G605" s="54">
        <v>5181</v>
      </c>
      <c r="H605" s="54">
        <v>933</v>
      </c>
      <c r="I605" s="54">
        <f t="shared" si="20"/>
        <v>6114</v>
      </c>
      <c r="J605" s="54" t="e">
        <f>+#REF!+#REF!+#REF!+#REF!</f>
        <v>#REF!</v>
      </c>
      <c r="K605" s="8">
        <v>44764</v>
      </c>
    </row>
    <row r="606" spans="1:11" s="1" customFormat="1" ht="30" x14ac:dyDescent="0.2">
      <c r="A606" s="7">
        <v>62</v>
      </c>
      <c r="B606" s="38">
        <v>44890</v>
      </c>
      <c r="C606" s="9" t="s">
        <v>465</v>
      </c>
      <c r="D606" s="9" t="s">
        <v>252</v>
      </c>
      <c r="E606" s="9" t="s">
        <v>466</v>
      </c>
      <c r="F606" s="9" t="s">
        <v>46</v>
      </c>
      <c r="G606" s="54">
        <v>225000</v>
      </c>
      <c r="H606" s="54">
        <f>20250*2</f>
        <v>40500</v>
      </c>
      <c r="I606" s="54">
        <f t="shared" si="20"/>
        <v>265500</v>
      </c>
      <c r="J606" s="54" t="e">
        <f>+#REF!+#REF!+#REF!+#REF!</f>
        <v>#REF!</v>
      </c>
      <c r="K606" s="8">
        <v>44929</v>
      </c>
    </row>
    <row r="607" spans="1:11" s="1" customFormat="1" ht="135" x14ac:dyDescent="0.2">
      <c r="A607" s="7">
        <v>63</v>
      </c>
      <c r="B607" s="38">
        <v>44831</v>
      </c>
      <c r="C607" s="9"/>
      <c r="D607" s="9" t="s">
        <v>252</v>
      </c>
      <c r="E607" s="9" t="s">
        <v>597</v>
      </c>
      <c r="F607" s="9" t="s">
        <v>276</v>
      </c>
      <c r="G607" s="54">
        <v>325000</v>
      </c>
      <c r="H607" s="54">
        <v>0</v>
      </c>
      <c r="I607" s="54">
        <f t="shared" si="20"/>
        <v>325000</v>
      </c>
      <c r="J607" s="54" t="e">
        <f>+#REF!+#REF!+#REF!+#REF!</f>
        <v>#REF!</v>
      </c>
      <c r="K607" s="8" t="s">
        <v>1995</v>
      </c>
    </row>
    <row r="608" spans="1:11" s="1" customFormat="1" ht="45" x14ac:dyDescent="0.2">
      <c r="A608" s="7">
        <v>64</v>
      </c>
      <c r="B608" s="38">
        <v>44628</v>
      </c>
      <c r="C608" s="9" t="s">
        <v>579</v>
      </c>
      <c r="D608" s="9" t="s">
        <v>252</v>
      </c>
      <c r="E608" s="9" t="s">
        <v>580</v>
      </c>
      <c r="F608" s="9" t="s">
        <v>84</v>
      </c>
      <c r="G608" s="54">
        <v>21000</v>
      </c>
      <c r="H608" s="54">
        <v>3780</v>
      </c>
      <c r="I608" s="54">
        <f t="shared" si="20"/>
        <v>24780</v>
      </c>
      <c r="J608" s="54" t="e">
        <f>+#REF!+#REF!+#REF!+#REF!</f>
        <v>#REF!</v>
      </c>
      <c r="K608" s="8">
        <v>44645</v>
      </c>
    </row>
    <row r="609" spans="1:11" s="1" customFormat="1" ht="60" x14ac:dyDescent="0.2">
      <c r="A609" s="7">
        <v>65</v>
      </c>
      <c r="B609" s="38">
        <v>44728</v>
      </c>
      <c r="C609" s="9" t="s">
        <v>251</v>
      </c>
      <c r="D609" s="9" t="s">
        <v>252</v>
      </c>
      <c r="E609" s="9" t="s">
        <v>596</v>
      </c>
      <c r="F609" s="9" t="s">
        <v>151</v>
      </c>
      <c r="G609" s="54">
        <v>13632</v>
      </c>
      <c r="H609" s="54">
        <f>1227*2</f>
        <v>2454</v>
      </c>
      <c r="I609" s="54">
        <f t="shared" ref="I609:I640" si="21">+G609+H609</f>
        <v>16086</v>
      </c>
      <c r="J609" s="54" t="e">
        <f>+#REF!+#REF!+#REF!+#REF!</f>
        <v>#REF!</v>
      </c>
      <c r="K609" s="8">
        <v>44764</v>
      </c>
    </row>
    <row r="610" spans="1:11" s="1" customFormat="1" ht="30" x14ac:dyDescent="0.2">
      <c r="A610" s="7">
        <v>66</v>
      </c>
      <c r="B610" s="38">
        <v>44728</v>
      </c>
      <c r="C610" s="9" t="s">
        <v>635</v>
      </c>
      <c r="D610" s="9" t="s">
        <v>252</v>
      </c>
      <c r="E610" s="9" t="s">
        <v>912</v>
      </c>
      <c r="F610" s="9" t="s">
        <v>913</v>
      </c>
      <c r="G610" s="54">
        <v>3500</v>
      </c>
      <c r="H610" s="54">
        <v>0</v>
      </c>
      <c r="I610" s="54">
        <f t="shared" si="21"/>
        <v>3500</v>
      </c>
      <c r="J610" s="54" t="e">
        <f>+#REF!+#REF!+#REF!+#REF!</f>
        <v>#REF!</v>
      </c>
      <c r="K610" s="8">
        <v>44728</v>
      </c>
    </row>
    <row r="611" spans="1:11" s="1" customFormat="1" ht="45" x14ac:dyDescent="0.2">
      <c r="A611" s="7">
        <v>67</v>
      </c>
      <c r="B611" s="38">
        <v>44729</v>
      </c>
      <c r="C611" s="9" t="s">
        <v>1297</v>
      </c>
      <c r="D611" s="9" t="s">
        <v>252</v>
      </c>
      <c r="E611" s="9" t="s">
        <v>1298</v>
      </c>
      <c r="F611" s="9" t="s">
        <v>151</v>
      </c>
      <c r="G611" s="54">
        <v>3250</v>
      </c>
      <c r="H611" s="54">
        <f>293+293</f>
        <v>586</v>
      </c>
      <c r="I611" s="54">
        <f t="shared" si="21"/>
        <v>3836</v>
      </c>
      <c r="J611" s="54" t="e">
        <f>+#REF!+#REF!+#REF!+#REF!</f>
        <v>#REF!</v>
      </c>
      <c r="K611" s="8">
        <v>44764</v>
      </c>
    </row>
    <row r="612" spans="1:11" s="1" customFormat="1" ht="30" x14ac:dyDescent="0.2">
      <c r="A612" s="7">
        <v>68</v>
      </c>
      <c r="B612" s="38">
        <v>44731</v>
      </c>
      <c r="C612" s="9" t="s">
        <v>277</v>
      </c>
      <c r="D612" s="9" t="s">
        <v>252</v>
      </c>
      <c r="E612" s="9" t="s">
        <v>278</v>
      </c>
      <c r="F612" s="9" t="s">
        <v>151</v>
      </c>
      <c r="G612" s="54">
        <v>11500</v>
      </c>
      <c r="H612" s="54">
        <f>1035*2</f>
        <v>2070</v>
      </c>
      <c r="I612" s="54">
        <f t="shared" si="21"/>
        <v>13570</v>
      </c>
      <c r="J612" s="54" t="e">
        <f>+#REF!+#REF!+#REF!+#REF!</f>
        <v>#REF!</v>
      </c>
      <c r="K612" s="8">
        <v>44764</v>
      </c>
    </row>
    <row r="613" spans="1:11" s="1" customFormat="1" ht="30" x14ac:dyDescent="0.2">
      <c r="A613" s="7">
        <v>69</v>
      </c>
      <c r="B613" s="38">
        <v>44853</v>
      </c>
      <c r="C613" s="9" t="s">
        <v>1299</v>
      </c>
      <c r="D613" s="9" t="s">
        <v>252</v>
      </c>
      <c r="E613" s="9" t="s">
        <v>1139</v>
      </c>
      <c r="F613" s="9" t="s">
        <v>151</v>
      </c>
      <c r="G613" s="54">
        <v>9400</v>
      </c>
      <c r="H613" s="54">
        <f>846+846</f>
        <v>1692</v>
      </c>
      <c r="I613" s="54">
        <f t="shared" si="21"/>
        <v>11092</v>
      </c>
      <c r="J613" s="54" t="e">
        <f>+#REF!+#REF!+#REF!+#REF!</f>
        <v>#REF!</v>
      </c>
      <c r="K613" s="8">
        <v>44881</v>
      </c>
    </row>
    <row r="614" spans="1:11" s="1" customFormat="1" ht="45" x14ac:dyDescent="0.2">
      <c r="A614" s="7">
        <v>70</v>
      </c>
      <c r="B614" s="38">
        <v>44856</v>
      </c>
      <c r="C614" s="9" t="s">
        <v>1300</v>
      </c>
      <c r="D614" s="9" t="s">
        <v>252</v>
      </c>
      <c r="E614" s="9" t="s">
        <v>1301</v>
      </c>
      <c r="F614" s="9" t="s">
        <v>874</v>
      </c>
      <c r="G614" s="54">
        <v>86000</v>
      </c>
      <c r="H614" s="54">
        <f>7740+7740</f>
        <v>15480</v>
      </c>
      <c r="I614" s="54">
        <f t="shared" si="21"/>
        <v>101480</v>
      </c>
      <c r="J614" s="54" t="e">
        <f>+#REF!+#REF!+#REF!+#REF!</f>
        <v>#REF!</v>
      </c>
      <c r="K614" s="8" t="s">
        <v>2000</v>
      </c>
    </row>
    <row r="615" spans="1:11" s="1" customFormat="1" ht="30" x14ac:dyDescent="0.2">
      <c r="A615" s="7">
        <v>71</v>
      </c>
      <c r="B615" s="38">
        <v>44898</v>
      </c>
      <c r="C615" s="9" t="s">
        <v>635</v>
      </c>
      <c r="D615" s="9" t="s">
        <v>252</v>
      </c>
      <c r="E615" s="9" t="s">
        <v>655</v>
      </c>
      <c r="F615" s="9" t="s">
        <v>654</v>
      </c>
      <c r="G615" s="54">
        <v>5000</v>
      </c>
      <c r="H615" s="54">
        <v>0</v>
      </c>
      <c r="I615" s="54">
        <f t="shared" si="21"/>
        <v>5000</v>
      </c>
      <c r="J615" s="54" t="e">
        <f>+#REF!+#REF!+#REF!+#REF!</f>
        <v>#REF!</v>
      </c>
      <c r="K615" s="38">
        <v>44898</v>
      </c>
    </row>
    <row r="616" spans="1:11" s="1" customFormat="1" ht="30" x14ac:dyDescent="0.2">
      <c r="A616" s="7">
        <v>72</v>
      </c>
      <c r="B616" s="38">
        <v>44898</v>
      </c>
      <c r="C616" s="9" t="s">
        <v>635</v>
      </c>
      <c r="D616" s="9" t="s">
        <v>252</v>
      </c>
      <c r="E616" s="9" t="s">
        <v>655</v>
      </c>
      <c r="F616" s="9" t="s">
        <v>654</v>
      </c>
      <c r="G616" s="54">
        <v>648</v>
      </c>
      <c r="H616" s="54">
        <v>0</v>
      </c>
      <c r="I616" s="54">
        <f t="shared" si="21"/>
        <v>648</v>
      </c>
      <c r="J616" s="54" t="e">
        <f>+#REF!+#REF!+#REF!+#REF!</f>
        <v>#REF!</v>
      </c>
      <c r="K616" s="38">
        <v>44898</v>
      </c>
    </row>
    <row r="617" spans="1:11" s="1" customFormat="1" ht="45" x14ac:dyDescent="0.2">
      <c r="A617" s="7">
        <v>73</v>
      </c>
      <c r="B617" s="38">
        <v>44904</v>
      </c>
      <c r="C617" s="9" t="s">
        <v>656</v>
      </c>
      <c r="D617" s="9" t="s">
        <v>252</v>
      </c>
      <c r="E617" s="9" t="s">
        <v>657</v>
      </c>
      <c r="F617" s="9" t="s">
        <v>303</v>
      </c>
      <c r="G617" s="54">
        <v>275000</v>
      </c>
      <c r="H617" s="54">
        <f>24750*2</f>
        <v>49500</v>
      </c>
      <c r="I617" s="54">
        <f t="shared" si="21"/>
        <v>324500</v>
      </c>
      <c r="J617" s="54" t="e">
        <f>+#REF!+#REF!+#REF!+#REF!</f>
        <v>#REF!</v>
      </c>
      <c r="K617" s="8">
        <v>45002</v>
      </c>
    </row>
    <row r="618" spans="1:11" s="1" customFormat="1" ht="60" x14ac:dyDescent="0.2">
      <c r="A618" s="7">
        <v>74</v>
      </c>
      <c r="B618" s="38">
        <v>44905</v>
      </c>
      <c r="C618" s="9"/>
      <c r="D618" s="9" t="s">
        <v>252</v>
      </c>
      <c r="E618" s="9" t="s">
        <v>658</v>
      </c>
      <c r="F618" s="9" t="s">
        <v>320</v>
      </c>
      <c r="G618" s="54">
        <v>40000</v>
      </c>
      <c r="H618" s="54">
        <f>3600*2</f>
        <v>7200</v>
      </c>
      <c r="I618" s="54">
        <f t="shared" si="21"/>
        <v>47200</v>
      </c>
      <c r="J618" s="54" t="e">
        <f>+#REF!+#REF!+#REF!+#REF!</f>
        <v>#REF!</v>
      </c>
      <c r="K618" s="8">
        <v>44905</v>
      </c>
    </row>
    <row r="619" spans="1:11" s="1" customFormat="1" ht="45" x14ac:dyDescent="0.2">
      <c r="A619" s="7">
        <v>75</v>
      </c>
      <c r="B619" s="38">
        <v>44914</v>
      </c>
      <c r="C619" s="9">
        <v>64494</v>
      </c>
      <c r="D619" s="9" t="s">
        <v>252</v>
      </c>
      <c r="E619" s="9" t="s">
        <v>659</v>
      </c>
      <c r="F619" s="9" t="s">
        <v>208</v>
      </c>
      <c r="G619" s="54">
        <v>13759.2</v>
      </c>
      <c r="H619" s="54">
        <f>1238*2</f>
        <v>2476</v>
      </c>
      <c r="I619" s="54">
        <f t="shared" si="21"/>
        <v>16235.2</v>
      </c>
      <c r="J619" s="54" t="e">
        <f>+#REF!+#REF!+#REF!+#REF!-0.2</f>
        <v>#REF!</v>
      </c>
      <c r="K619" s="8">
        <v>44954</v>
      </c>
    </row>
    <row r="620" spans="1:11" s="1" customFormat="1" ht="30" x14ac:dyDescent="0.2">
      <c r="A620" s="7">
        <v>76</v>
      </c>
      <c r="B620" s="38">
        <v>44901</v>
      </c>
      <c r="C620" s="9" t="s">
        <v>660</v>
      </c>
      <c r="D620" s="9" t="s">
        <v>252</v>
      </c>
      <c r="E620" s="9" t="s">
        <v>661</v>
      </c>
      <c r="F620" s="9" t="s">
        <v>43</v>
      </c>
      <c r="G620" s="54">
        <v>20560.68</v>
      </c>
      <c r="H620" s="54">
        <v>0</v>
      </c>
      <c r="I620" s="54">
        <f t="shared" si="21"/>
        <v>20560.68</v>
      </c>
      <c r="J620" s="54" t="e">
        <f>+#REF!+#REF!+#REF!+#REF!-0.68</f>
        <v>#REF!</v>
      </c>
      <c r="K620" s="8">
        <v>44953</v>
      </c>
    </row>
    <row r="621" spans="1:11" s="1" customFormat="1" ht="45" x14ac:dyDescent="0.2">
      <c r="A621" s="7">
        <v>77</v>
      </c>
      <c r="B621" s="38">
        <v>44917</v>
      </c>
      <c r="C621" s="9" t="s">
        <v>720</v>
      </c>
      <c r="D621" s="9" t="s">
        <v>252</v>
      </c>
      <c r="E621" s="9" t="s">
        <v>721</v>
      </c>
      <c r="F621" s="9" t="s">
        <v>43</v>
      </c>
      <c r="G621" s="54">
        <f>11852.54+1067+1067</f>
        <v>13986.54</v>
      </c>
      <c r="H621" s="54">
        <v>0</v>
      </c>
      <c r="I621" s="54">
        <f t="shared" si="21"/>
        <v>13986.54</v>
      </c>
      <c r="J621" s="54" t="e">
        <f>+#REF!+#REF!+#REF!+#REF!-0.54</f>
        <v>#REF!</v>
      </c>
      <c r="K621" s="8">
        <v>44953</v>
      </c>
    </row>
    <row r="622" spans="1:11" s="1" customFormat="1" ht="60" x14ac:dyDescent="0.2">
      <c r="A622" s="7">
        <v>78</v>
      </c>
      <c r="B622" s="38">
        <v>44914</v>
      </c>
      <c r="C622" s="9">
        <v>64476</v>
      </c>
      <c r="D622" s="9" t="s">
        <v>252</v>
      </c>
      <c r="E622" s="9" t="s">
        <v>701</v>
      </c>
      <c r="F622" s="9" t="s">
        <v>208</v>
      </c>
      <c r="G622" s="54">
        <v>13789.2</v>
      </c>
      <c r="H622" s="54">
        <f>1241*2</f>
        <v>2482</v>
      </c>
      <c r="I622" s="54">
        <f t="shared" si="21"/>
        <v>16271.2</v>
      </c>
      <c r="J622" s="54" t="e">
        <f>+#REF!+#REF!+#REF!+#REF!-0.2</f>
        <v>#REF!</v>
      </c>
      <c r="K622" s="8">
        <v>44954</v>
      </c>
    </row>
    <row r="623" spans="1:11" s="1" customFormat="1" ht="60" x14ac:dyDescent="0.2">
      <c r="A623" s="7">
        <v>79</v>
      </c>
      <c r="B623" s="38">
        <v>44917</v>
      </c>
      <c r="C623" s="9" t="s">
        <v>702</v>
      </c>
      <c r="D623" s="9" t="s">
        <v>252</v>
      </c>
      <c r="E623" s="9" t="s">
        <v>703</v>
      </c>
      <c r="F623" s="9" t="s">
        <v>151</v>
      </c>
      <c r="G623" s="54">
        <v>46062</v>
      </c>
      <c r="H623" s="54">
        <f>4146*2</f>
        <v>8292</v>
      </c>
      <c r="I623" s="54">
        <f t="shared" si="21"/>
        <v>54354</v>
      </c>
      <c r="J623" s="54" t="e">
        <f>+#REF!+#REF!+#REF!+#REF!</f>
        <v>#REF!</v>
      </c>
      <c r="K623" s="8">
        <v>44953</v>
      </c>
    </row>
    <row r="624" spans="1:11" s="1" customFormat="1" ht="90" x14ac:dyDescent="0.2">
      <c r="A624" s="7">
        <v>80</v>
      </c>
      <c r="B624" s="38">
        <v>44917</v>
      </c>
      <c r="C624" s="9" t="s">
        <v>704</v>
      </c>
      <c r="D624" s="9" t="s">
        <v>252</v>
      </c>
      <c r="E624" s="9" t="s">
        <v>706</v>
      </c>
      <c r="F624" s="9" t="s">
        <v>705</v>
      </c>
      <c r="G624" s="54">
        <v>213830</v>
      </c>
      <c r="H624" s="54">
        <f>19245*2</f>
        <v>38490</v>
      </c>
      <c r="I624" s="54">
        <f t="shared" si="21"/>
        <v>252320</v>
      </c>
      <c r="J624" s="54" t="e">
        <f>+#REF!+#REF!+#REF!+#REF!-1</f>
        <v>#REF!</v>
      </c>
      <c r="K624" s="8" t="s">
        <v>2020</v>
      </c>
    </row>
    <row r="625" spans="1:11" s="1" customFormat="1" ht="75" x14ac:dyDescent="0.2">
      <c r="A625" s="7">
        <v>81</v>
      </c>
      <c r="B625" s="38">
        <v>44732</v>
      </c>
      <c r="C625" s="9" t="s">
        <v>724</v>
      </c>
      <c r="D625" s="9" t="s">
        <v>252</v>
      </c>
      <c r="E625" s="9" t="s">
        <v>725</v>
      </c>
      <c r="F625" s="9" t="s">
        <v>705</v>
      </c>
      <c r="G625" s="54">
        <v>50600</v>
      </c>
      <c r="H625" s="54">
        <f>4554*2</f>
        <v>9108</v>
      </c>
      <c r="I625" s="54">
        <f t="shared" si="21"/>
        <v>59708</v>
      </c>
      <c r="J625" s="54" t="e">
        <f>+#REF!+#REF!+#REF!+#REF!</f>
        <v>#REF!</v>
      </c>
      <c r="K625" s="8">
        <v>44732</v>
      </c>
    </row>
    <row r="626" spans="1:11" s="1" customFormat="1" ht="60" x14ac:dyDescent="0.2">
      <c r="A626" s="7">
        <v>82</v>
      </c>
      <c r="B626" s="38">
        <v>44919</v>
      </c>
      <c r="C626" s="9" t="s">
        <v>707</v>
      </c>
      <c r="D626" s="9" t="s">
        <v>252</v>
      </c>
      <c r="E626" s="9" t="s">
        <v>708</v>
      </c>
      <c r="F626" s="9" t="s">
        <v>151</v>
      </c>
      <c r="G626" s="54">
        <v>6439.01</v>
      </c>
      <c r="H626" s="54">
        <f>580*2</f>
        <v>1160</v>
      </c>
      <c r="I626" s="54">
        <f t="shared" si="21"/>
        <v>7599.01</v>
      </c>
      <c r="J626" s="54" t="e">
        <f>+#REF!+#REF!+#REF!+#REF!-0.01</f>
        <v>#REF!</v>
      </c>
      <c r="K626" s="8">
        <v>44953</v>
      </c>
    </row>
    <row r="627" spans="1:11" s="1" customFormat="1" ht="90" x14ac:dyDescent="0.2">
      <c r="A627" s="7">
        <v>83</v>
      </c>
      <c r="B627" s="38">
        <v>44921</v>
      </c>
      <c r="C627" s="9" t="s">
        <v>709</v>
      </c>
      <c r="D627" s="9" t="s">
        <v>252</v>
      </c>
      <c r="E627" s="9" t="s">
        <v>710</v>
      </c>
      <c r="F627" s="9" t="s">
        <v>151</v>
      </c>
      <c r="G627" s="54">
        <v>1737.8</v>
      </c>
      <c r="H627" s="54">
        <f>156*2</f>
        <v>312</v>
      </c>
      <c r="I627" s="54">
        <f t="shared" si="21"/>
        <v>2049.8000000000002</v>
      </c>
      <c r="J627" s="54" t="e">
        <f>+#REF!+#REF!+#REF!+#REF!+0.2</f>
        <v>#REF!</v>
      </c>
      <c r="K627" s="8">
        <v>44953</v>
      </c>
    </row>
    <row r="628" spans="1:11" s="1" customFormat="1" ht="45" x14ac:dyDescent="0.2">
      <c r="A628" s="7">
        <v>84</v>
      </c>
      <c r="B628" s="38">
        <v>44921</v>
      </c>
      <c r="C628" s="9" t="s">
        <v>711</v>
      </c>
      <c r="D628" s="9" t="s">
        <v>252</v>
      </c>
      <c r="E628" s="9" t="s">
        <v>712</v>
      </c>
      <c r="F628" s="9" t="s">
        <v>151</v>
      </c>
      <c r="G628" s="54">
        <v>14019.61</v>
      </c>
      <c r="H628" s="54">
        <f>1262*2</f>
        <v>2524</v>
      </c>
      <c r="I628" s="54">
        <f t="shared" si="21"/>
        <v>16543.61</v>
      </c>
      <c r="J628" s="54" t="e">
        <f>+#REF!+#REF!+#REF!+#REF!+0.39</f>
        <v>#REF!</v>
      </c>
      <c r="K628" s="8">
        <v>44953</v>
      </c>
    </row>
    <row r="629" spans="1:11" s="1" customFormat="1" ht="45" x14ac:dyDescent="0.2">
      <c r="A629" s="7">
        <v>85</v>
      </c>
      <c r="B629" s="38">
        <v>44922</v>
      </c>
      <c r="C629" s="9" t="s">
        <v>713</v>
      </c>
      <c r="D629" s="9" t="s">
        <v>252</v>
      </c>
      <c r="E629" s="9" t="s">
        <v>714</v>
      </c>
      <c r="F629" s="9" t="s">
        <v>211</v>
      </c>
      <c r="G629" s="54">
        <v>2300</v>
      </c>
      <c r="H629" s="54">
        <f>207*2</f>
        <v>414</v>
      </c>
      <c r="I629" s="54">
        <f t="shared" si="21"/>
        <v>2714</v>
      </c>
      <c r="J629" s="54" t="e">
        <f>+#REF!+#REF!+#REF!+#REF!</f>
        <v>#REF!</v>
      </c>
      <c r="K629" s="8">
        <v>44954</v>
      </c>
    </row>
    <row r="630" spans="1:11" s="1" customFormat="1" ht="30" x14ac:dyDescent="0.2">
      <c r="A630" s="7">
        <v>86</v>
      </c>
      <c r="B630" s="38">
        <v>44930</v>
      </c>
      <c r="C630" s="9" t="s">
        <v>635</v>
      </c>
      <c r="D630" s="9" t="s">
        <v>252</v>
      </c>
      <c r="E630" s="9" t="s">
        <v>771</v>
      </c>
      <c r="F630" s="9" t="s">
        <v>771</v>
      </c>
      <c r="G630" s="54">
        <v>1490</v>
      </c>
      <c r="H630" s="54">
        <v>0</v>
      </c>
      <c r="I630" s="54">
        <f t="shared" si="21"/>
        <v>1490</v>
      </c>
      <c r="J630" s="54" t="e">
        <f>+#REF!+#REF!+#REF!+#REF!</f>
        <v>#REF!</v>
      </c>
      <c r="K630" s="8">
        <v>44930</v>
      </c>
    </row>
    <row r="631" spans="1:11" s="1" customFormat="1" ht="30" x14ac:dyDescent="0.2">
      <c r="A631" s="7">
        <v>87</v>
      </c>
      <c r="B631" s="38">
        <v>44930</v>
      </c>
      <c r="C631" s="9" t="s">
        <v>772</v>
      </c>
      <c r="D631" s="9" t="s">
        <v>252</v>
      </c>
      <c r="E631" s="9" t="s">
        <v>773</v>
      </c>
      <c r="F631" s="9" t="s">
        <v>32</v>
      </c>
      <c r="G631" s="54">
        <v>152908.20000000001</v>
      </c>
      <c r="H631" s="54">
        <f>13762+13762</f>
        <v>27524</v>
      </c>
      <c r="I631" s="54">
        <f t="shared" si="21"/>
        <v>180432.2</v>
      </c>
      <c r="J631" s="54" t="e">
        <f>+#REF!+#REF!+#REF!+#REF!-0.2</f>
        <v>#REF!</v>
      </c>
      <c r="K631" s="8">
        <v>44923</v>
      </c>
    </row>
    <row r="632" spans="1:11" s="1" customFormat="1" ht="30" x14ac:dyDescent="0.2">
      <c r="A632" s="7">
        <v>88</v>
      </c>
      <c r="B632" s="38">
        <v>44933</v>
      </c>
      <c r="C632" s="9" t="s">
        <v>774</v>
      </c>
      <c r="D632" s="9" t="s">
        <v>252</v>
      </c>
      <c r="E632" s="9" t="s">
        <v>775</v>
      </c>
      <c r="F632" s="9" t="s">
        <v>151</v>
      </c>
      <c r="G632" s="54">
        <v>562.5</v>
      </c>
      <c r="H632" s="54">
        <f>51+51</f>
        <v>102</v>
      </c>
      <c r="I632" s="54">
        <f t="shared" si="21"/>
        <v>664.5</v>
      </c>
      <c r="J632" s="54" t="e">
        <f>+#REF!+#REF!+#REF!+#REF!-0.5</f>
        <v>#REF!</v>
      </c>
      <c r="K632" s="8">
        <v>44980</v>
      </c>
    </row>
    <row r="633" spans="1:11" s="1" customFormat="1" ht="30" x14ac:dyDescent="0.2">
      <c r="A633" s="7">
        <v>89</v>
      </c>
      <c r="B633" s="38">
        <v>44936</v>
      </c>
      <c r="C633" s="9" t="s">
        <v>776</v>
      </c>
      <c r="D633" s="9" t="s">
        <v>252</v>
      </c>
      <c r="E633" s="9" t="s">
        <v>777</v>
      </c>
      <c r="F633" s="9" t="s">
        <v>778</v>
      </c>
      <c r="G633" s="54">
        <v>19470</v>
      </c>
      <c r="H633" s="54">
        <f>1752+1752</f>
        <v>3504</v>
      </c>
      <c r="I633" s="54">
        <f t="shared" si="21"/>
        <v>22974</v>
      </c>
      <c r="J633" s="54" t="e">
        <f>+#REF!+#REF!+#REF!+#REF!</f>
        <v>#REF!</v>
      </c>
      <c r="K633" s="8">
        <v>44981</v>
      </c>
    </row>
    <row r="634" spans="1:11" s="1" customFormat="1" ht="45" x14ac:dyDescent="0.2">
      <c r="A634" s="7">
        <v>90</v>
      </c>
      <c r="B634" s="38">
        <v>44936</v>
      </c>
      <c r="C634" s="9" t="s">
        <v>779</v>
      </c>
      <c r="D634" s="9" t="s">
        <v>252</v>
      </c>
      <c r="E634" s="9" t="s">
        <v>780</v>
      </c>
      <c r="F634" s="9" t="s">
        <v>778</v>
      </c>
      <c r="G634" s="54">
        <v>40755</v>
      </c>
      <c r="H634" s="54">
        <f>3668+3668</f>
        <v>7336</v>
      </c>
      <c r="I634" s="54">
        <f t="shared" si="21"/>
        <v>48091</v>
      </c>
      <c r="J634" s="54" t="e">
        <f>+#REF!+#REF!+#REF!+#REF!</f>
        <v>#REF!</v>
      </c>
      <c r="K634" s="8">
        <v>44981</v>
      </c>
    </row>
    <row r="635" spans="1:11" s="1" customFormat="1" ht="45" x14ac:dyDescent="0.2">
      <c r="A635" s="7">
        <v>91</v>
      </c>
      <c r="B635" s="38">
        <v>44930</v>
      </c>
      <c r="C635" s="9" t="s">
        <v>797</v>
      </c>
      <c r="D635" s="9" t="s">
        <v>252</v>
      </c>
      <c r="E635" s="9" t="s">
        <v>798</v>
      </c>
      <c r="F635" s="9" t="s">
        <v>106</v>
      </c>
      <c r="G635" s="54">
        <v>1883</v>
      </c>
      <c r="H635" s="54"/>
      <c r="I635" s="54">
        <f t="shared" si="21"/>
        <v>1883</v>
      </c>
      <c r="J635" s="54" t="e">
        <f>+#REF!+#REF!+#REF!+#REF!</f>
        <v>#REF!</v>
      </c>
      <c r="K635" s="8">
        <v>44930</v>
      </c>
    </row>
    <row r="636" spans="1:11" s="1" customFormat="1" ht="60" x14ac:dyDescent="0.2">
      <c r="A636" s="7">
        <v>92</v>
      </c>
      <c r="B636" s="38">
        <v>44935</v>
      </c>
      <c r="C636" s="9" t="s">
        <v>849</v>
      </c>
      <c r="D636" s="9" t="s">
        <v>252</v>
      </c>
      <c r="E636" s="9" t="s">
        <v>850</v>
      </c>
      <c r="F636" s="9" t="s">
        <v>275</v>
      </c>
      <c r="G636" s="54">
        <v>6500</v>
      </c>
      <c r="H636" s="54">
        <v>1170</v>
      </c>
      <c r="I636" s="54">
        <f t="shared" si="21"/>
        <v>7670</v>
      </c>
      <c r="J636" s="54" t="e">
        <f>+#REF!+#REF!+#REF!+#REF!</f>
        <v>#REF!</v>
      </c>
      <c r="K636" s="8">
        <v>45058</v>
      </c>
    </row>
    <row r="637" spans="1:11" s="1" customFormat="1" ht="90" x14ac:dyDescent="0.2">
      <c r="A637" s="7">
        <v>93</v>
      </c>
      <c r="B637" s="38">
        <v>44937</v>
      </c>
      <c r="C637" s="9" t="s">
        <v>851</v>
      </c>
      <c r="D637" s="9" t="s">
        <v>252</v>
      </c>
      <c r="E637" s="9" t="s">
        <v>852</v>
      </c>
      <c r="F637" s="9" t="s">
        <v>523</v>
      </c>
      <c r="G637" s="54">
        <v>32157.919999999998</v>
      </c>
      <c r="H637" s="54">
        <f>2894+2894</f>
        <v>5788</v>
      </c>
      <c r="I637" s="54">
        <f t="shared" si="21"/>
        <v>37945.919999999998</v>
      </c>
      <c r="J637" s="54" t="e">
        <f>+#REF!+#REF!+#REF!+#REF!+0.08</f>
        <v>#REF!</v>
      </c>
      <c r="K637" s="8">
        <v>44980</v>
      </c>
    </row>
    <row r="638" spans="1:11" s="1" customFormat="1" ht="45" x14ac:dyDescent="0.2">
      <c r="A638" s="7">
        <v>94</v>
      </c>
      <c r="B638" s="38">
        <v>44942</v>
      </c>
      <c r="C638" s="9" t="s">
        <v>872</v>
      </c>
      <c r="D638" s="9" t="s">
        <v>252</v>
      </c>
      <c r="E638" s="9" t="s">
        <v>873</v>
      </c>
      <c r="F638" s="9" t="s">
        <v>874</v>
      </c>
      <c r="G638" s="54">
        <v>162000</v>
      </c>
      <c r="H638" s="54">
        <f>14580+14580</f>
        <v>29160</v>
      </c>
      <c r="I638" s="54">
        <f t="shared" si="21"/>
        <v>191160</v>
      </c>
      <c r="J638" s="54" t="e">
        <f>+#REF!+#REF!+#REF!+#REF!</f>
        <v>#REF!</v>
      </c>
      <c r="K638" s="8">
        <v>44981</v>
      </c>
    </row>
    <row r="639" spans="1:11" s="1" customFormat="1" ht="75" x14ac:dyDescent="0.2">
      <c r="A639" s="7">
        <v>95</v>
      </c>
      <c r="B639" s="38">
        <v>44953</v>
      </c>
      <c r="C639" s="9" t="s">
        <v>853</v>
      </c>
      <c r="D639" s="9" t="s">
        <v>252</v>
      </c>
      <c r="E639" s="9" t="s">
        <v>854</v>
      </c>
      <c r="F639" s="9" t="s">
        <v>523</v>
      </c>
      <c r="G639" s="54">
        <v>8306.86</v>
      </c>
      <c r="H639" s="54">
        <f>748+748</f>
        <v>1496</v>
      </c>
      <c r="I639" s="54">
        <f t="shared" si="21"/>
        <v>9802.86</v>
      </c>
      <c r="J639" s="54" t="e">
        <f>+#REF!+#REF!+#REF!+#REF!-0.86</f>
        <v>#REF!</v>
      </c>
      <c r="K639" s="8">
        <v>44980</v>
      </c>
    </row>
    <row r="640" spans="1:11" s="1" customFormat="1" ht="45" x14ac:dyDescent="0.2">
      <c r="A640" s="7">
        <v>96</v>
      </c>
      <c r="B640" s="38">
        <v>44982</v>
      </c>
      <c r="C640" s="9" t="s">
        <v>1014</v>
      </c>
      <c r="D640" s="9" t="s">
        <v>252</v>
      </c>
      <c r="E640" s="9" t="s">
        <v>1015</v>
      </c>
      <c r="F640" s="9" t="s">
        <v>441</v>
      </c>
      <c r="G640" s="54">
        <v>1800</v>
      </c>
      <c r="H640" s="54">
        <f>162+162</f>
        <v>324</v>
      </c>
      <c r="I640" s="54">
        <f t="shared" si="21"/>
        <v>2124</v>
      </c>
      <c r="J640" s="54" t="e">
        <f>+#REF!+#REF!+#REF!+#REF!</f>
        <v>#REF!</v>
      </c>
      <c r="K640" s="8">
        <v>45008</v>
      </c>
    </row>
    <row r="641" spans="1:11" s="1" customFormat="1" ht="45" x14ac:dyDescent="0.2">
      <c r="A641" s="7">
        <v>97</v>
      </c>
      <c r="B641" s="38">
        <v>44971</v>
      </c>
      <c r="C641" s="9" t="s">
        <v>7</v>
      </c>
      <c r="D641" s="9" t="s">
        <v>252</v>
      </c>
      <c r="E641" s="9" t="s">
        <v>1027</v>
      </c>
      <c r="F641" s="9" t="s">
        <v>1028</v>
      </c>
      <c r="G641" s="54">
        <v>0</v>
      </c>
      <c r="H641" s="54">
        <v>0</v>
      </c>
      <c r="I641" s="54">
        <f t="shared" ref="I641:I671" si="22">+G641+H641</f>
        <v>0</v>
      </c>
      <c r="J641" s="54" t="e">
        <f>+#REF!+#REF!+#REF!+#REF!</f>
        <v>#REF!</v>
      </c>
      <c r="K641" s="8"/>
    </row>
    <row r="642" spans="1:11" s="1" customFormat="1" ht="30" x14ac:dyDescent="0.2">
      <c r="A642" s="7">
        <v>98</v>
      </c>
      <c r="B642" s="38">
        <v>44994</v>
      </c>
      <c r="C642" s="9" t="s">
        <v>1035</v>
      </c>
      <c r="D642" s="9" t="s">
        <v>252</v>
      </c>
      <c r="E642" s="9" t="s">
        <v>1036</v>
      </c>
      <c r="F642" s="9" t="s">
        <v>46</v>
      </c>
      <c r="G642" s="54">
        <v>579006</v>
      </c>
      <c r="H642" s="54">
        <f>52111+52111</f>
        <v>104222</v>
      </c>
      <c r="I642" s="54">
        <f t="shared" si="22"/>
        <v>683228</v>
      </c>
      <c r="J642" s="54" t="e">
        <f>+#REF!+#REF!+#REF!+#REF!</f>
        <v>#REF!</v>
      </c>
      <c r="K642" s="8" t="s">
        <v>1937</v>
      </c>
    </row>
    <row r="643" spans="1:11" s="1" customFormat="1" ht="105" x14ac:dyDescent="0.2">
      <c r="A643" s="7">
        <v>99</v>
      </c>
      <c r="B643" s="38">
        <v>44999</v>
      </c>
      <c r="C643" s="9" t="s">
        <v>1068</v>
      </c>
      <c r="D643" s="9" t="s">
        <v>252</v>
      </c>
      <c r="E643" s="9" t="s">
        <v>1069</v>
      </c>
      <c r="F643" s="9" t="s">
        <v>778</v>
      </c>
      <c r="G643" s="54">
        <v>19100</v>
      </c>
      <c r="H643" s="54">
        <f>1719+1719</f>
        <v>3438</v>
      </c>
      <c r="I643" s="54">
        <f t="shared" si="22"/>
        <v>22538</v>
      </c>
      <c r="J643" s="54" t="e">
        <f>+#REF!+#REF!+#REF!+#REF!</f>
        <v>#REF!</v>
      </c>
      <c r="K643" s="8">
        <v>45016</v>
      </c>
    </row>
    <row r="644" spans="1:11" s="1" customFormat="1" ht="75" x14ac:dyDescent="0.2">
      <c r="A644" s="7">
        <v>100</v>
      </c>
      <c r="B644" s="38">
        <v>45001</v>
      </c>
      <c r="C644" s="9">
        <v>1017</v>
      </c>
      <c r="D644" s="9" t="s">
        <v>252</v>
      </c>
      <c r="E644" s="9" t="s">
        <v>1070</v>
      </c>
      <c r="F644" s="9" t="s">
        <v>254</v>
      </c>
      <c r="G644" s="54">
        <v>31400</v>
      </c>
      <c r="H644" s="54">
        <f>2826+2826</f>
        <v>5652</v>
      </c>
      <c r="I644" s="54">
        <f t="shared" si="22"/>
        <v>37052</v>
      </c>
      <c r="J644" s="54" t="e">
        <f>+#REF!+#REF!+#REF!+#REF!</f>
        <v>#REF!</v>
      </c>
      <c r="K644" s="8">
        <v>45162</v>
      </c>
    </row>
    <row r="645" spans="1:11" s="1" customFormat="1" ht="90" x14ac:dyDescent="0.2">
      <c r="A645" s="7">
        <v>101</v>
      </c>
      <c r="B645" s="38">
        <v>45010</v>
      </c>
      <c r="C645" s="9">
        <v>15</v>
      </c>
      <c r="D645" s="9" t="s">
        <v>252</v>
      </c>
      <c r="E645" s="9" t="s">
        <v>1088</v>
      </c>
      <c r="F645" s="9" t="s">
        <v>1028</v>
      </c>
      <c r="G645" s="54">
        <v>300000</v>
      </c>
      <c r="H645" s="54">
        <f>42000+42000</f>
        <v>84000</v>
      </c>
      <c r="I645" s="54">
        <f t="shared" si="22"/>
        <v>384000</v>
      </c>
      <c r="J645" s="54" t="e">
        <f>+#REF!+#REF!+#REF!+#REF!</f>
        <v>#REF!</v>
      </c>
      <c r="K645" s="8">
        <v>44971</v>
      </c>
    </row>
    <row r="646" spans="1:11" s="1" customFormat="1" ht="30" x14ac:dyDescent="0.2">
      <c r="A646" s="7">
        <v>102</v>
      </c>
      <c r="B646" s="38">
        <v>45015</v>
      </c>
      <c r="C646" s="9" t="s">
        <v>1094</v>
      </c>
      <c r="D646" s="9" t="s">
        <v>252</v>
      </c>
      <c r="E646" s="9" t="s">
        <v>1095</v>
      </c>
      <c r="F646" s="9" t="s">
        <v>46</v>
      </c>
      <c r="G646" s="54">
        <v>217730</v>
      </c>
      <c r="H646" s="54">
        <f>19596+19596</f>
        <v>39192</v>
      </c>
      <c r="I646" s="54">
        <f t="shared" si="22"/>
        <v>256922</v>
      </c>
      <c r="J646" s="54" t="e">
        <f>+#REF!+#REF!+#REF!+#REF!-1</f>
        <v>#REF!</v>
      </c>
      <c r="K646" s="8">
        <v>45199</v>
      </c>
    </row>
    <row r="647" spans="1:11" s="1" customFormat="1" ht="30" x14ac:dyDescent="0.2">
      <c r="A647" s="7">
        <v>103</v>
      </c>
      <c r="B647" s="38">
        <v>45015</v>
      </c>
      <c r="C647" s="9" t="s">
        <v>1098</v>
      </c>
      <c r="D647" s="9" t="s">
        <v>252</v>
      </c>
      <c r="E647" s="9" t="s">
        <v>1099</v>
      </c>
      <c r="F647" s="9" t="s">
        <v>151</v>
      </c>
      <c r="G647" s="54">
        <v>43991.75</v>
      </c>
      <c r="H647" s="54">
        <f>3959+3959</f>
        <v>7918</v>
      </c>
      <c r="I647" s="54">
        <f t="shared" si="22"/>
        <v>51909.75</v>
      </c>
      <c r="J647" s="54" t="e">
        <f>+#REF!+#REF!+#REF!+#REF!+0.25</f>
        <v>#REF!</v>
      </c>
      <c r="K647" s="8">
        <v>45044</v>
      </c>
    </row>
    <row r="648" spans="1:11" s="1" customFormat="1" ht="45" x14ac:dyDescent="0.2">
      <c r="A648" s="7">
        <v>104</v>
      </c>
      <c r="B648" s="38">
        <v>45015</v>
      </c>
      <c r="C648" s="9" t="s">
        <v>1100</v>
      </c>
      <c r="D648" s="9" t="s">
        <v>252</v>
      </c>
      <c r="E648" s="9" t="s">
        <v>1101</v>
      </c>
      <c r="F648" s="9" t="s">
        <v>151</v>
      </c>
      <c r="G648" s="54">
        <v>2314</v>
      </c>
      <c r="H648" s="54">
        <f>208+208</f>
        <v>416</v>
      </c>
      <c r="I648" s="54">
        <f t="shared" si="22"/>
        <v>2730</v>
      </c>
      <c r="J648" s="54" t="e">
        <f>+#REF!+#REF!+#REF!+#REF!+1</f>
        <v>#REF!</v>
      </c>
      <c r="K648" s="8">
        <v>45044</v>
      </c>
    </row>
    <row r="649" spans="1:11" s="1" customFormat="1" ht="45" x14ac:dyDescent="0.2">
      <c r="A649" s="7">
        <v>105</v>
      </c>
      <c r="B649" s="38">
        <v>45016</v>
      </c>
      <c r="C649" s="9" t="s">
        <v>1110</v>
      </c>
      <c r="D649" s="9" t="s">
        <v>252</v>
      </c>
      <c r="E649" s="9" t="s">
        <v>1111</v>
      </c>
      <c r="F649" s="9" t="s">
        <v>151</v>
      </c>
      <c r="G649" s="54">
        <v>11438</v>
      </c>
      <c r="H649" s="54">
        <f>1029+1029</f>
        <v>2058</v>
      </c>
      <c r="I649" s="54">
        <f t="shared" si="22"/>
        <v>13496</v>
      </c>
      <c r="J649" s="54" t="e">
        <f>+#REF!+#REF!+#REF!+#REF!+1</f>
        <v>#REF!</v>
      </c>
      <c r="K649" s="8">
        <v>45044</v>
      </c>
    </row>
    <row r="650" spans="1:11" s="1" customFormat="1" ht="30" x14ac:dyDescent="0.2">
      <c r="A650" s="7">
        <v>106</v>
      </c>
      <c r="B650" s="38">
        <v>45020</v>
      </c>
      <c r="C650" s="9" t="s">
        <v>1147</v>
      </c>
      <c r="D650" s="9" t="s">
        <v>252</v>
      </c>
      <c r="E650" s="9" t="s">
        <v>1148</v>
      </c>
      <c r="F650" s="9" t="s">
        <v>1149</v>
      </c>
      <c r="G650" s="54">
        <v>18610</v>
      </c>
      <c r="H650" s="54">
        <v>0</v>
      </c>
      <c r="I650" s="54">
        <f t="shared" si="22"/>
        <v>18610</v>
      </c>
      <c r="J650" s="54" t="e">
        <f>+#REF!+#REF!+#REF!+#REF!</f>
        <v>#REF!</v>
      </c>
      <c r="K650" s="38">
        <v>45020</v>
      </c>
    </row>
    <row r="651" spans="1:11" s="1" customFormat="1" ht="30" x14ac:dyDescent="0.2">
      <c r="A651" s="7">
        <v>107</v>
      </c>
      <c r="B651" s="38">
        <v>45021</v>
      </c>
      <c r="C651" s="9" t="s">
        <v>1150</v>
      </c>
      <c r="D651" s="9" t="s">
        <v>252</v>
      </c>
      <c r="E651" s="9" t="s">
        <v>1148</v>
      </c>
      <c r="F651" s="9" t="s">
        <v>1149</v>
      </c>
      <c r="G651" s="54">
        <v>18610</v>
      </c>
      <c r="H651" s="54">
        <v>0</v>
      </c>
      <c r="I651" s="54">
        <f t="shared" si="22"/>
        <v>18610</v>
      </c>
      <c r="J651" s="54" t="e">
        <f>+#REF!+#REF!+#REF!+#REF!</f>
        <v>#REF!</v>
      </c>
      <c r="K651" s="38">
        <v>45021</v>
      </c>
    </row>
    <row r="652" spans="1:11" s="1" customFormat="1" ht="30" x14ac:dyDescent="0.2">
      <c r="A652" s="7">
        <v>108</v>
      </c>
      <c r="B652" s="38">
        <v>45022</v>
      </c>
      <c r="C652" s="9" t="s">
        <v>1151</v>
      </c>
      <c r="D652" s="9" t="s">
        <v>252</v>
      </c>
      <c r="E652" s="9" t="s">
        <v>1148</v>
      </c>
      <c r="F652" s="9" t="s">
        <v>1149</v>
      </c>
      <c r="G652" s="54">
        <v>18610</v>
      </c>
      <c r="H652" s="54">
        <v>0</v>
      </c>
      <c r="I652" s="54">
        <f t="shared" si="22"/>
        <v>18610</v>
      </c>
      <c r="J652" s="54" t="e">
        <f>+#REF!+#REF!+#REF!+#REF!</f>
        <v>#REF!</v>
      </c>
      <c r="K652" s="38">
        <v>45022</v>
      </c>
    </row>
    <row r="653" spans="1:11" s="1" customFormat="1" ht="30" x14ac:dyDescent="0.2">
      <c r="A653" s="7">
        <v>109</v>
      </c>
      <c r="B653" s="38">
        <v>45023</v>
      </c>
      <c r="C653" s="9" t="s">
        <v>1152</v>
      </c>
      <c r="D653" s="9" t="s">
        <v>252</v>
      </c>
      <c r="E653" s="9" t="s">
        <v>1148</v>
      </c>
      <c r="F653" s="9" t="s">
        <v>1149</v>
      </c>
      <c r="G653" s="54">
        <v>18610</v>
      </c>
      <c r="H653" s="54">
        <v>0</v>
      </c>
      <c r="I653" s="54">
        <f t="shared" si="22"/>
        <v>18610</v>
      </c>
      <c r="J653" s="54" t="e">
        <f>+#REF!+#REF!+#REF!+#REF!</f>
        <v>#REF!</v>
      </c>
      <c r="K653" s="38">
        <v>45023</v>
      </c>
    </row>
    <row r="654" spans="1:11" s="1" customFormat="1" ht="45" x14ac:dyDescent="0.2">
      <c r="A654" s="7">
        <v>111</v>
      </c>
      <c r="B654" s="38">
        <v>45024</v>
      </c>
      <c r="C654" s="9" t="s">
        <v>635</v>
      </c>
      <c r="D654" s="9" t="s">
        <v>252</v>
      </c>
      <c r="E654" s="9" t="s">
        <v>1122</v>
      </c>
      <c r="F654" s="9" t="s">
        <v>1123</v>
      </c>
      <c r="G654" s="54">
        <v>10000</v>
      </c>
      <c r="H654" s="54">
        <v>0</v>
      </c>
      <c r="I654" s="54">
        <f t="shared" si="22"/>
        <v>10000</v>
      </c>
      <c r="J654" s="54" t="e">
        <f>+#REF!+#REF!+#REF!+#REF!</f>
        <v>#REF!</v>
      </c>
      <c r="K654" s="8"/>
    </row>
    <row r="655" spans="1:11" s="1" customFormat="1" ht="30" x14ac:dyDescent="0.2">
      <c r="A655" s="7">
        <v>112</v>
      </c>
      <c r="B655" s="38">
        <v>45024</v>
      </c>
      <c r="C655" s="9" t="s">
        <v>1153</v>
      </c>
      <c r="D655" s="9" t="s">
        <v>252</v>
      </c>
      <c r="E655" s="9" t="s">
        <v>1154</v>
      </c>
      <c r="F655" s="9" t="s">
        <v>1149</v>
      </c>
      <c r="G655" s="54">
        <v>13958</v>
      </c>
      <c r="H655" s="54">
        <v>0</v>
      </c>
      <c r="I655" s="54">
        <f t="shared" si="22"/>
        <v>13958</v>
      </c>
      <c r="J655" s="54" t="e">
        <f>+#REF!+#REF!+#REF!+#REF!</f>
        <v>#REF!</v>
      </c>
      <c r="K655" s="8">
        <v>45024</v>
      </c>
    </row>
    <row r="656" spans="1:11" s="1" customFormat="1" ht="30" x14ac:dyDescent="0.2">
      <c r="A656" s="7">
        <v>113</v>
      </c>
      <c r="B656" s="38">
        <v>45025</v>
      </c>
      <c r="C656" s="9" t="s">
        <v>1155</v>
      </c>
      <c r="D656" s="9" t="s">
        <v>252</v>
      </c>
      <c r="E656" s="9" t="s">
        <v>1148</v>
      </c>
      <c r="F656" s="9" t="s">
        <v>1149</v>
      </c>
      <c r="G656" s="54">
        <v>18610</v>
      </c>
      <c r="H656" s="54">
        <v>0</v>
      </c>
      <c r="I656" s="54">
        <f t="shared" si="22"/>
        <v>18610</v>
      </c>
      <c r="J656" s="54" t="e">
        <f>+#REF!+#REF!+#REF!+#REF!</f>
        <v>#REF!</v>
      </c>
      <c r="K656" s="8">
        <v>45024</v>
      </c>
    </row>
    <row r="657" spans="1:11" s="1" customFormat="1" ht="30" x14ac:dyDescent="0.2">
      <c r="A657" s="7">
        <v>114</v>
      </c>
      <c r="B657" s="38">
        <v>45025</v>
      </c>
      <c r="C657" s="9" t="s">
        <v>1156</v>
      </c>
      <c r="D657" s="9" t="s">
        <v>252</v>
      </c>
      <c r="E657" s="9" t="s">
        <v>1154</v>
      </c>
      <c r="F657" s="9" t="s">
        <v>1149</v>
      </c>
      <c r="G657" s="54">
        <v>13958</v>
      </c>
      <c r="H657" s="54">
        <v>0</v>
      </c>
      <c r="I657" s="54">
        <f t="shared" si="22"/>
        <v>13958</v>
      </c>
      <c r="J657" s="54" t="e">
        <f>+#REF!+#REF!+#REF!+#REF!</f>
        <v>#REF!</v>
      </c>
      <c r="K657" s="8">
        <v>45025</v>
      </c>
    </row>
    <row r="658" spans="1:11" s="1" customFormat="1" ht="30" x14ac:dyDescent="0.2">
      <c r="A658" s="7">
        <v>115</v>
      </c>
      <c r="B658" s="38">
        <v>45026</v>
      </c>
      <c r="C658" s="9" t="s">
        <v>1308</v>
      </c>
      <c r="D658" s="9" t="s">
        <v>252</v>
      </c>
      <c r="E658" s="9" t="s">
        <v>1309</v>
      </c>
      <c r="F658" s="9" t="s">
        <v>46</v>
      </c>
      <c r="G658" s="54">
        <v>21865</v>
      </c>
      <c r="H658" s="54">
        <f>1968+1968</f>
        <v>3936</v>
      </c>
      <c r="I658" s="54">
        <f t="shared" si="22"/>
        <v>25801</v>
      </c>
      <c r="J658" s="54" t="e">
        <f>+#REF!+#REF!+#REF!+#REF!</f>
        <v>#REF!</v>
      </c>
      <c r="K658" s="8">
        <v>45199</v>
      </c>
    </row>
    <row r="659" spans="1:11" s="1" customFormat="1" ht="30" x14ac:dyDescent="0.2">
      <c r="A659" s="7">
        <v>116</v>
      </c>
      <c r="B659" s="38">
        <v>45027</v>
      </c>
      <c r="C659" s="9" t="s">
        <v>1157</v>
      </c>
      <c r="D659" s="9" t="s">
        <v>252</v>
      </c>
      <c r="E659" s="9" t="s">
        <v>1148</v>
      </c>
      <c r="F659" s="9" t="s">
        <v>1149</v>
      </c>
      <c r="G659" s="54">
        <v>18610</v>
      </c>
      <c r="H659" s="54">
        <v>0</v>
      </c>
      <c r="I659" s="54">
        <f t="shared" si="22"/>
        <v>18610</v>
      </c>
      <c r="J659" s="54" t="e">
        <f>+#REF!+#REF!+#REF!+#REF!</f>
        <v>#REF!</v>
      </c>
      <c r="K659" s="8">
        <v>45027</v>
      </c>
    </row>
    <row r="660" spans="1:11" s="1" customFormat="1" ht="30" x14ac:dyDescent="0.2">
      <c r="A660" s="7">
        <v>117</v>
      </c>
      <c r="B660" s="38">
        <v>45028</v>
      </c>
      <c r="C660" s="9" t="s">
        <v>1158</v>
      </c>
      <c r="D660" s="9" t="s">
        <v>252</v>
      </c>
      <c r="E660" s="9" t="s">
        <v>1154</v>
      </c>
      <c r="F660" s="9" t="s">
        <v>1149</v>
      </c>
      <c r="G660" s="54">
        <v>13958</v>
      </c>
      <c r="H660" s="54">
        <v>0</v>
      </c>
      <c r="I660" s="54">
        <f t="shared" si="22"/>
        <v>13958</v>
      </c>
      <c r="J660" s="54" t="e">
        <f>+#REF!+#REF!+#REF!+#REF!</f>
        <v>#REF!</v>
      </c>
      <c r="K660" s="8">
        <v>45028</v>
      </c>
    </row>
    <row r="661" spans="1:11" s="1" customFormat="1" ht="30" x14ac:dyDescent="0.2">
      <c r="A661" s="7">
        <v>118</v>
      </c>
      <c r="B661" s="38">
        <v>45029</v>
      </c>
      <c r="C661" s="9" t="s">
        <v>1159</v>
      </c>
      <c r="D661" s="9" t="s">
        <v>252</v>
      </c>
      <c r="E661" s="9" t="s">
        <v>1148</v>
      </c>
      <c r="F661" s="9" t="s">
        <v>1149</v>
      </c>
      <c r="G661" s="54">
        <v>18610</v>
      </c>
      <c r="H661" s="54">
        <v>0</v>
      </c>
      <c r="I661" s="54">
        <f t="shared" si="22"/>
        <v>18610</v>
      </c>
      <c r="J661" s="54" t="e">
        <f>+#REF!+#REF!+#REF!+#REF!</f>
        <v>#REF!</v>
      </c>
      <c r="K661" s="8">
        <v>45029</v>
      </c>
    </row>
    <row r="662" spans="1:11" s="1" customFormat="1" ht="30" x14ac:dyDescent="0.2">
      <c r="A662" s="7">
        <v>119</v>
      </c>
      <c r="B662" s="38">
        <v>45030</v>
      </c>
      <c r="C662" s="9" t="s">
        <v>1160</v>
      </c>
      <c r="D662" s="9" t="s">
        <v>252</v>
      </c>
      <c r="E662" s="9" t="s">
        <v>1148</v>
      </c>
      <c r="F662" s="9" t="s">
        <v>1149</v>
      </c>
      <c r="G662" s="54">
        <v>18610</v>
      </c>
      <c r="H662" s="54">
        <v>0</v>
      </c>
      <c r="I662" s="54">
        <f t="shared" si="22"/>
        <v>18610</v>
      </c>
      <c r="J662" s="54" t="e">
        <f>+#REF!+#REF!+#REF!+#REF!</f>
        <v>#REF!</v>
      </c>
      <c r="K662" s="8">
        <v>45030</v>
      </c>
    </row>
    <row r="663" spans="1:11" s="1" customFormat="1" ht="30" x14ac:dyDescent="0.2">
      <c r="A663" s="7">
        <v>120</v>
      </c>
      <c r="B663" s="38">
        <v>45030</v>
      </c>
      <c r="C663" s="9" t="s">
        <v>1161</v>
      </c>
      <c r="D663" s="9" t="s">
        <v>252</v>
      </c>
      <c r="E663" s="9" t="s">
        <v>1148</v>
      </c>
      <c r="F663" s="9" t="s">
        <v>1149</v>
      </c>
      <c r="G663" s="54">
        <v>18610</v>
      </c>
      <c r="H663" s="54">
        <v>0</v>
      </c>
      <c r="I663" s="54">
        <f t="shared" si="22"/>
        <v>18610</v>
      </c>
      <c r="J663" s="54" t="e">
        <f>+#REF!+#REF!+#REF!+#REF!</f>
        <v>#REF!</v>
      </c>
      <c r="K663" s="8">
        <v>45030</v>
      </c>
    </row>
    <row r="664" spans="1:11" s="1" customFormat="1" ht="45" x14ac:dyDescent="0.2">
      <c r="A664" s="7">
        <v>121</v>
      </c>
      <c r="B664" s="38">
        <v>45030</v>
      </c>
      <c r="C664" s="9" t="s">
        <v>1162</v>
      </c>
      <c r="D664" s="9" t="s">
        <v>252</v>
      </c>
      <c r="E664" s="9" t="s">
        <v>1163</v>
      </c>
      <c r="F664" s="9" t="s">
        <v>1164</v>
      </c>
      <c r="G664" s="54">
        <v>82550</v>
      </c>
      <c r="H664" s="54">
        <f>7430+7430</f>
        <v>14860</v>
      </c>
      <c r="I664" s="54">
        <f t="shared" si="22"/>
        <v>97410</v>
      </c>
      <c r="J664" s="54" t="e">
        <f>+#REF!+#REF!+#REF!+#REF!-1</f>
        <v>#REF!</v>
      </c>
      <c r="K664" s="8">
        <v>45076</v>
      </c>
    </row>
    <row r="665" spans="1:11" s="1" customFormat="1" ht="30" x14ac:dyDescent="0.2">
      <c r="A665" s="7">
        <v>122</v>
      </c>
      <c r="B665" s="38">
        <v>45031</v>
      </c>
      <c r="C665" s="9" t="s">
        <v>1165</v>
      </c>
      <c r="D665" s="9" t="s">
        <v>252</v>
      </c>
      <c r="E665" s="9" t="s">
        <v>1154</v>
      </c>
      <c r="F665" s="9" t="s">
        <v>1149</v>
      </c>
      <c r="G665" s="54">
        <v>13958</v>
      </c>
      <c r="H665" s="54">
        <v>0</v>
      </c>
      <c r="I665" s="54">
        <f t="shared" si="22"/>
        <v>13958</v>
      </c>
      <c r="J665" s="54" t="e">
        <f>+#REF!+#REF!+#REF!+#REF!</f>
        <v>#REF!</v>
      </c>
      <c r="K665" s="8">
        <v>45031</v>
      </c>
    </row>
    <row r="666" spans="1:11" s="1" customFormat="1" ht="30" x14ac:dyDescent="0.2">
      <c r="A666" s="7">
        <v>123</v>
      </c>
      <c r="B666" s="38">
        <v>45032</v>
      </c>
      <c r="C666" s="9" t="s">
        <v>1166</v>
      </c>
      <c r="D666" s="9" t="s">
        <v>252</v>
      </c>
      <c r="E666" s="9" t="s">
        <v>1154</v>
      </c>
      <c r="F666" s="9" t="s">
        <v>1149</v>
      </c>
      <c r="G666" s="54">
        <v>13958</v>
      </c>
      <c r="H666" s="54">
        <v>0</v>
      </c>
      <c r="I666" s="54">
        <f t="shared" si="22"/>
        <v>13958</v>
      </c>
      <c r="J666" s="54" t="e">
        <f>+#REF!+#REF!+#REF!+#REF!</f>
        <v>#REF!</v>
      </c>
      <c r="K666" s="8">
        <v>45031</v>
      </c>
    </row>
    <row r="667" spans="1:11" s="1" customFormat="1" ht="30" x14ac:dyDescent="0.2">
      <c r="A667" s="7">
        <v>124</v>
      </c>
      <c r="B667" s="38">
        <v>45033</v>
      </c>
      <c r="C667" s="9" t="s">
        <v>1173</v>
      </c>
      <c r="D667" s="9" t="s">
        <v>252</v>
      </c>
      <c r="E667" s="9" t="s">
        <v>1148</v>
      </c>
      <c r="F667" s="9" t="s">
        <v>1149</v>
      </c>
      <c r="G667" s="54">
        <v>18610</v>
      </c>
      <c r="H667" s="54">
        <v>0</v>
      </c>
      <c r="I667" s="54">
        <f t="shared" si="22"/>
        <v>18610</v>
      </c>
      <c r="J667" s="54" t="e">
        <f>+#REF!+#REF!+#REF!+#REF!</f>
        <v>#REF!</v>
      </c>
      <c r="K667" s="8">
        <v>45033</v>
      </c>
    </row>
    <row r="668" spans="1:11" s="1" customFormat="1" ht="30" x14ac:dyDescent="0.2">
      <c r="A668" s="7">
        <v>125</v>
      </c>
      <c r="B668" s="38">
        <v>45033</v>
      </c>
      <c r="C668" s="9" t="s">
        <v>1167</v>
      </c>
      <c r="D668" s="9" t="s">
        <v>252</v>
      </c>
      <c r="E668" s="9" t="s">
        <v>1154</v>
      </c>
      <c r="F668" s="9" t="s">
        <v>1149</v>
      </c>
      <c r="G668" s="54">
        <v>13958</v>
      </c>
      <c r="H668" s="54">
        <v>0</v>
      </c>
      <c r="I668" s="54">
        <f t="shared" si="22"/>
        <v>13958</v>
      </c>
      <c r="J668" s="54" t="e">
        <f>+#REF!+#REF!+#REF!+#REF!</f>
        <v>#REF!</v>
      </c>
      <c r="K668" s="8">
        <v>45033</v>
      </c>
    </row>
    <row r="669" spans="1:11" s="1" customFormat="1" ht="30" x14ac:dyDescent="0.2">
      <c r="A669" s="7">
        <v>126</v>
      </c>
      <c r="B669" s="38">
        <v>45034</v>
      </c>
      <c r="C669" s="9" t="s">
        <v>1168</v>
      </c>
      <c r="D669" s="9" t="s">
        <v>252</v>
      </c>
      <c r="E669" s="9" t="s">
        <v>1148</v>
      </c>
      <c r="F669" s="9" t="s">
        <v>1149</v>
      </c>
      <c r="G669" s="54">
        <v>18610</v>
      </c>
      <c r="H669" s="54">
        <v>0</v>
      </c>
      <c r="I669" s="54">
        <f t="shared" si="22"/>
        <v>18610</v>
      </c>
      <c r="J669" s="54" t="e">
        <f>+#REF!+#REF!+#REF!+#REF!</f>
        <v>#REF!</v>
      </c>
      <c r="K669" s="8">
        <v>45034</v>
      </c>
    </row>
    <row r="670" spans="1:11" s="1" customFormat="1" ht="30" x14ac:dyDescent="0.2">
      <c r="A670" s="7">
        <v>127</v>
      </c>
      <c r="B670" s="38">
        <v>45035</v>
      </c>
      <c r="C670" s="9" t="s">
        <v>1169</v>
      </c>
      <c r="D670" s="9" t="s">
        <v>252</v>
      </c>
      <c r="E670" s="9" t="s">
        <v>1148</v>
      </c>
      <c r="F670" s="9" t="s">
        <v>1149</v>
      </c>
      <c r="G670" s="54">
        <v>18610</v>
      </c>
      <c r="H670" s="54">
        <v>0</v>
      </c>
      <c r="I670" s="54">
        <f t="shared" si="22"/>
        <v>18610</v>
      </c>
      <c r="J670" s="54" t="e">
        <f>+#REF!+#REF!+#REF!+#REF!</f>
        <v>#REF!</v>
      </c>
      <c r="K670" s="8">
        <v>45035</v>
      </c>
    </row>
    <row r="671" spans="1:11" s="1" customFormat="1" ht="45" x14ac:dyDescent="0.2">
      <c r="A671" s="7">
        <v>128</v>
      </c>
      <c r="B671" s="38">
        <v>45035</v>
      </c>
      <c r="C671" s="9" t="s">
        <v>635</v>
      </c>
      <c r="D671" s="9" t="s">
        <v>252</v>
      </c>
      <c r="E671" s="9" t="s">
        <v>1170</v>
      </c>
      <c r="F671" s="9" t="s">
        <v>665</v>
      </c>
      <c r="G671" s="54">
        <v>305</v>
      </c>
      <c r="H671" s="54">
        <v>0</v>
      </c>
      <c r="I671" s="54">
        <f t="shared" si="22"/>
        <v>305</v>
      </c>
      <c r="J671" s="54" t="e">
        <f>+#REF!+#REF!+#REF!+#REF!</f>
        <v>#REF!</v>
      </c>
      <c r="K671" s="8">
        <v>45035</v>
      </c>
    </row>
    <row r="672" spans="1:11" s="1" customFormat="1" ht="30" x14ac:dyDescent="0.2">
      <c r="A672" s="7">
        <v>129</v>
      </c>
      <c r="B672" s="38">
        <v>45036</v>
      </c>
      <c r="C672" s="9" t="s">
        <v>1171</v>
      </c>
      <c r="D672" s="9" t="s">
        <v>252</v>
      </c>
      <c r="E672" s="9" t="s">
        <v>1154</v>
      </c>
      <c r="F672" s="9" t="s">
        <v>1149</v>
      </c>
      <c r="G672" s="54">
        <v>13958</v>
      </c>
      <c r="H672" s="54">
        <v>0</v>
      </c>
      <c r="I672" s="54">
        <f t="shared" ref="I672:I703" si="23">+G672+H672</f>
        <v>13958</v>
      </c>
      <c r="J672" s="54" t="e">
        <f>+#REF!+#REF!+#REF!+#REF!</f>
        <v>#REF!</v>
      </c>
      <c r="K672" s="8">
        <v>45036</v>
      </c>
    </row>
    <row r="673" spans="1:11" s="1" customFormat="1" ht="30" x14ac:dyDescent="0.2">
      <c r="A673" s="7">
        <v>130</v>
      </c>
      <c r="B673" s="38">
        <v>45037</v>
      </c>
      <c r="C673" s="9" t="s">
        <v>1174</v>
      </c>
      <c r="D673" s="9" t="s">
        <v>252</v>
      </c>
      <c r="E673" s="9" t="s">
        <v>1148</v>
      </c>
      <c r="F673" s="9" t="s">
        <v>1149</v>
      </c>
      <c r="G673" s="54">
        <v>18610</v>
      </c>
      <c r="H673" s="54">
        <v>0</v>
      </c>
      <c r="I673" s="54">
        <f t="shared" si="23"/>
        <v>18610</v>
      </c>
      <c r="J673" s="54" t="e">
        <f>+#REF!+#REF!+#REF!+#REF!</f>
        <v>#REF!</v>
      </c>
      <c r="K673" s="8">
        <v>45037</v>
      </c>
    </row>
    <row r="674" spans="1:11" s="1" customFormat="1" ht="30" x14ac:dyDescent="0.2">
      <c r="A674" s="7">
        <v>131</v>
      </c>
      <c r="B674" s="38">
        <v>45038</v>
      </c>
      <c r="C674" s="9" t="s">
        <v>1182</v>
      </c>
      <c r="D674" s="9" t="s">
        <v>252</v>
      </c>
      <c r="E674" s="9" t="s">
        <v>1154</v>
      </c>
      <c r="F674" s="9" t="s">
        <v>1149</v>
      </c>
      <c r="G674" s="54">
        <v>13958</v>
      </c>
      <c r="H674" s="54">
        <v>0</v>
      </c>
      <c r="I674" s="54">
        <f t="shared" si="23"/>
        <v>13958</v>
      </c>
      <c r="J674" s="54" t="e">
        <f>+#REF!+#REF!+#REF!+#REF!</f>
        <v>#REF!</v>
      </c>
      <c r="K674" s="8">
        <v>45038</v>
      </c>
    </row>
    <row r="675" spans="1:11" s="1" customFormat="1" ht="30" x14ac:dyDescent="0.2">
      <c r="A675" s="7">
        <v>132</v>
      </c>
      <c r="B675" s="38">
        <v>45039</v>
      </c>
      <c r="C675" s="9" t="s">
        <v>1172</v>
      </c>
      <c r="D675" s="9" t="s">
        <v>252</v>
      </c>
      <c r="E675" s="9" t="s">
        <v>1154</v>
      </c>
      <c r="F675" s="9" t="s">
        <v>1149</v>
      </c>
      <c r="G675" s="54">
        <v>13958</v>
      </c>
      <c r="H675" s="54">
        <v>0</v>
      </c>
      <c r="I675" s="54">
        <f t="shared" si="23"/>
        <v>13958</v>
      </c>
      <c r="J675" s="54" t="e">
        <f>+#REF!+#REF!+#REF!+#REF!</f>
        <v>#REF!</v>
      </c>
      <c r="K675" s="8">
        <v>45038</v>
      </c>
    </row>
    <row r="676" spans="1:11" s="1" customFormat="1" ht="30" x14ac:dyDescent="0.2">
      <c r="A676" s="7">
        <v>133</v>
      </c>
      <c r="B676" s="38">
        <v>45040</v>
      </c>
      <c r="C676" s="9" t="s">
        <v>1175</v>
      </c>
      <c r="D676" s="9" t="s">
        <v>252</v>
      </c>
      <c r="E676" s="9" t="s">
        <v>1148</v>
      </c>
      <c r="F676" s="9" t="s">
        <v>1149</v>
      </c>
      <c r="G676" s="54">
        <v>18610</v>
      </c>
      <c r="H676" s="54">
        <v>0</v>
      </c>
      <c r="I676" s="54">
        <f t="shared" si="23"/>
        <v>18610</v>
      </c>
      <c r="J676" s="54" t="e">
        <f>+#REF!+#REF!+#REF!+#REF!</f>
        <v>#REF!</v>
      </c>
      <c r="K676" s="8">
        <v>45040</v>
      </c>
    </row>
    <row r="677" spans="1:11" s="1" customFormat="1" ht="30" x14ac:dyDescent="0.2">
      <c r="A677" s="7">
        <v>134</v>
      </c>
      <c r="B677" s="38">
        <v>45041</v>
      </c>
      <c r="C677" s="9" t="s">
        <v>1183</v>
      </c>
      <c r="D677" s="9" t="s">
        <v>252</v>
      </c>
      <c r="E677" s="9" t="s">
        <v>1148</v>
      </c>
      <c r="F677" s="9" t="s">
        <v>1149</v>
      </c>
      <c r="G677" s="54">
        <v>18610</v>
      </c>
      <c r="H677" s="54">
        <v>0</v>
      </c>
      <c r="I677" s="54">
        <f t="shared" si="23"/>
        <v>18610</v>
      </c>
      <c r="J677" s="54" t="e">
        <f>+#REF!+#REF!+#REF!+#REF!</f>
        <v>#REF!</v>
      </c>
      <c r="K677" s="8">
        <v>45041</v>
      </c>
    </row>
    <row r="678" spans="1:11" s="1" customFormat="1" ht="30" x14ac:dyDescent="0.2">
      <c r="A678" s="7">
        <v>135</v>
      </c>
      <c r="B678" s="38">
        <v>45042</v>
      </c>
      <c r="C678" s="9" t="s">
        <v>1184</v>
      </c>
      <c r="D678" s="9" t="s">
        <v>252</v>
      </c>
      <c r="E678" s="9" t="s">
        <v>1154</v>
      </c>
      <c r="F678" s="9" t="s">
        <v>1149</v>
      </c>
      <c r="G678" s="54">
        <v>13958</v>
      </c>
      <c r="H678" s="54">
        <v>0</v>
      </c>
      <c r="I678" s="54">
        <f t="shared" si="23"/>
        <v>13958</v>
      </c>
      <c r="J678" s="54" t="e">
        <f>+#REF!+#REF!+#REF!+#REF!</f>
        <v>#REF!</v>
      </c>
      <c r="K678" s="8">
        <v>45042</v>
      </c>
    </row>
    <row r="679" spans="1:11" s="1" customFormat="1" ht="90" x14ac:dyDescent="0.2">
      <c r="A679" s="7">
        <v>136</v>
      </c>
      <c r="B679" s="38">
        <v>45041</v>
      </c>
      <c r="C679" s="9" t="s">
        <v>1399</v>
      </c>
      <c r="D679" s="9" t="s">
        <v>252</v>
      </c>
      <c r="E679" s="9" t="s">
        <v>1400</v>
      </c>
      <c r="F679" s="9" t="s">
        <v>151</v>
      </c>
      <c r="G679" s="54">
        <v>63352.5</v>
      </c>
      <c r="H679" s="54">
        <f>5702+5702</f>
        <v>11404</v>
      </c>
      <c r="I679" s="54">
        <f t="shared" si="23"/>
        <v>74756.5</v>
      </c>
      <c r="J679" s="54" t="e">
        <f>+#REF!+#REF!+#REF!+#REF!-0.5</f>
        <v>#REF!</v>
      </c>
      <c r="K679" s="8">
        <v>45086</v>
      </c>
    </row>
    <row r="680" spans="1:11" s="1" customFormat="1" ht="120" x14ac:dyDescent="0.2">
      <c r="A680" s="7">
        <v>137</v>
      </c>
      <c r="B680" s="38">
        <v>45041</v>
      </c>
      <c r="C680" s="9" t="s">
        <v>1401</v>
      </c>
      <c r="D680" s="9" t="s">
        <v>252</v>
      </c>
      <c r="E680" s="9" t="s">
        <v>1402</v>
      </c>
      <c r="F680" s="9" t="s">
        <v>151</v>
      </c>
      <c r="G680" s="54">
        <v>31777.5</v>
      </c>
      <c r="H680" s="54">
        <f>2860+2860</f>
        <v>5720</v>
      </c>
      <c r="I680" s="54">
        <f t="shared" si="23"/>
        <v>37497.5</v>
      </c>
      <c r="J680" s="54" t="e">
        <f>+#REF!+#REF!+#REF!+#REF!-0.5</f>
        <v>#REF!</v>
      </c>
      <c r="K680" s="8">
        <v>45086</v>
      </c>
    </row>
    <row r="681" spans="1:11" s="1" customFormat="1" ht="30" x14ac:dyDescent="0.2">
      <c r="A681" s="7">
        <v>138</v>
      </c>
      <c r="B681" s="38">
        <v>45043</v>
      </c>
      <c r="C681" s="9" t="s">
        <v>1403</v>
      </c>
      <c r="D681" s="9" t="s">
        <v>252</v>
      </c>
      <c r="E681" s="9" t="s">
        <v>1404</v>
      </c>
      <c r="F681" s="9" t="s">
        <v>1149</v>
      </c>
      <c r="G681" s="54">
        <v>18610</v>
      </c>
      <c r="H681" s="54">
        <v>0</v>
      </c>
      <c r="I681" s="54">
        <f t="shared" si="23"/>
        <v>18610</v>
      </c>
      <c r="J681" s="54" t="e">
        <f>+#REF!+#REF!+#REF!+#REF!</f>
        <v>#REF!</v>
      </c>
      <c r="K681" s="8">
        <v>45043</v>
      </c>
    </row>
    <row r="682" spans="1:11" s="1" customFormat="1" ht="30" x14ac:dyDescent="0.2">
      <c r="A682" s="7">
        <v>139</v>
      </c>
      <c r="B682" s="38">
        <v>45044</v>
      </c>
      <c r="C682" s="9" t="s">
        <v>1405</v>
      </c>
      <c r="D682" s="9" t="s">
        <v>252</v>
      </c>
      <c r="E682" s="9" t="s">
        <v>1154</v>
      </c>
      <c r="F682" s="9" t="s">
        <v>1149</v>
      </c>
      <c r="G682" s="54">
        <v>13958</v>
      </c>
      <c r="H682" s="54">
        <v>0</v>
      </c>
      <c r="I682" s="54">
        <f t="shared" si="23"/>
        <v>13958</v>
      </c>
      <c r="J682" s="54" t="e">
        <f>+#REF!+#REF!+#REF!+#REF!</f>
        <v>#REF!</v>
      </c>
      <c r="K682" s="8">
        <v>45044</v>
      </c>
    </row>
    <row r="683" spans="1:11" s="1" customFormat="1" ht="45" x14ac:dyDescent="0.2">
      <c r="A683" s="7">
        <v>140</v>
      </c>
      <c r="B683" s="38">
        <v>45044</v>
      </c>
      <c r="C683" s="9" t="s">
        <v>1406</v>
      </c>
      <c r="D683" s="9" t="s">
        <v>252</v>
      </c>
      <c r="E683" s="9" t="s">
        <v>1407</v>
      </c>
      <c r="F683" s="9" t="s">
        <v>206</v>
      </c>
      <c r="G683" s="54">
        <v>4483.2</v>
      </c>
      <c r="H683" s="54">
        <f>403+403</f>
        <v>806</v>
      </c>
      <c r="I683" s="54">
        <f t="shared" si="23"/>
        <v>5289.2</v>
      </c>
      <c r="J683" s="54" t="e">
        <f>+#REF!+#REF!+#REF!+#REF!+0.8</f>
        <v>#REF!</v>
      </c>
      <c r="K683" s="8">
        <v>45076</v>
      </c>
    </row>
    <row r="684" spans="1:11" s="1" customFormat="1" ht="30" x14ac:dyDescent="0.2">
      <c r="A684" s="7">
        <v>141</v>
      </c>
      <c r="B684" s="38">
        <v>45045</v>
      </c>
      <c r="C684" s="9" t="s">
        <v>1408</v>
      </c>
      <c r="D684" s="9" t="s">
        <v>252</v>
      </c>
      <c r="E684" s="9" t="s">
        <v>1148</v>
      </c>
      <c r="F684" s="9" t="s">
        <v>1149</v>
      </c>
      <c r="G684" s="54">
        <v>18610</v>
      </c>
      <c r="H684" s="54">
        <v>0</v>
      </c>
      <c r="I684" s="54">
        <f t="shared" si="23"/>
        <v>18610</v>
      </c>
      <c r="J684" s="54" t="e">
        <f>+#REF!+#REF!+#REF!+#REF!</f>
        <v>#REF!</v>
      </c>
      <c r="K684" s="8">
        <v>45045</v>
      </c>
    </row>
    <row r="685" spans="1:11" s="1" customFormat="1" ht="30" x14ac:dyDescent="0.2">
      <c r="A685" s="7">
        <v>142</v>
      </c>
      <c r="B685" s="38">
        <v>45046</v>
      </c>
      <c r="C685" s="9" t="s">
        <v>1409</v>
      </c>
      <c r="D685" s="9" t="s">
        <v>252</v>
      </c>
      <c r="E685" s="9" t="s">
        <v>1148</v>
      </c>
      <c r="F685" s="9" t="s">
        <v>1149</v>
      </c>
      <c r="G685" s="54">
        <v>18610</v>
      </c>
      <c r="H685" s="54">
        <v>0</v>
      </c>
      <c r="I685" s="54">
        <f t="shared" si="23"/>
        <v>18610</v>
      </c>
      <c r="J685" s="54" t="e">
        <f>+#REF!+#REF!+#REF!+#REF!</f>
        <v>#REF!</v>
      </c>
      <c r="K685" s="8">
        <v>45047</v>
      </c>
    </row>
    <row r="686" spans="1:11" s="1" customFormat="1" ht="30" x14ac:dyDescent="0.2">
      <c r="A686" s="7">
        <v>143</v>
      </c>
      <c r="B686" s="38">
        <v>45047</v>
      </c>
      <c r="C686" s="9" t="s">
        <v>1463</v>
      </c>
      <c r="D686" s="9" t="s">
        <v>252</v>
      </c>
      <c r="E686" s="9" t="s">
        <v>1148</v>
      </c>
      <c r="F686" s="9" t="s">
        <v>1149</v>
      </c>
      <c r="G686" s="54">
        <v>18610</v>
      </c>
      <c r="H686" s="54">
        <v>0</v>
      </c>
      <c r="I686" s="54">
        <f t="shared" si="23"/>
        <v>18610</v>
      </c>
      <c r="J686" s="54" t="e">
        <f>+#REF!+#REF!+#REF!+#REF!</f>
        <v>#REF!</v>
      </c>
      <c r="K686" s="8">
        <v>45047</v>
      </c>
    </row>
    <row r="687" spans="1:11" s="1" customFormat="1" ht="30" x14ac:dyDescent="0.2">
      <c r="A687" s="7">
        <v>144</v>
      </c>
      <c r="B687" s="38">
        <v>45048</v>
      </c>
      <c r="C687" s="9" t="s">
        <v>1464</v>
      </c>
      <c r="D687" s="9" t="s">
        <v>252</v>
      </c>
      <c r="E687" s="9" t="s">
        <v>1154</v>
      </c>
      <c r="F687" s="9" t="s">
        <v>1149</v>
      </c>
      <c r="G687" s="54">
        <v>13958</v>
      </c>
      <c r="H687" s="54">
        <v>0</v>
      </c>
      <c r="I687" s="54">
        <f t="shared" si="23"/>
        <v>13958</v>
      </c>
      <c r="J687" s="54" t="e">
        <f>+#REF!+#REF!+#REF!+#REF!</f>
        <v>#REF!</v>
      </c>
      <c r="K687" s="8">
        <v>45048</v>
      </c>
    </row>
    <row r="688" spans="1:11" s="1" customFormat="1" ht="45" x14ac:dyDescent="0.2">
      <c r="A688" s="7">
        <v>145</v>
      </c>
      <c r="B688" s="38">
        <v>45049</v>
      </c>
      <c r="C688" s="9" t="s">
        <v>1465</v>
      </c>
      <c r="D688" s="9" t="s">
        <v>252</v>
      </c>
      <c r="E688" s="9" t="s">
        <v>1466</v>
      </c>
      <c r="F688" s="9" t="s">
        <v>1149</v>
      </c>
      <c r="G688" s="54">
        <v>7761</v>
      </c>
      <c r="H688" s="54">
        <v>0</v>
      </c>
      <c r="I688" s="54">
        <f t="shared" si="23"/>
        <v>7761</v>
      </c>
      <c r="J688" s="54" t="e">
        <f>+#REF!+#REF!+#REF!+#REF!</f>
        <v>#REF!</v>
      </c>
      <c r="K688" s="8">
        <v>45049</v>
      </c>
    </row>
    <row r="689" spans="1:11" s="1" customFormat="1" ht="45" x14ac:dyDescent="0.2">
      <c r="A689" s="7">
        <v>146</v>
      </c>
      <c r="B689" s="38">
        <v>45049</v>
      </c>
      <c r="C689" s="9" t="s">
        <v>1467</v>
      </c>
      <c r="D689" s="9" t="s">
        <v>252</v>
      </c>
      <c r="E689" s="9" t="s">
        <v>1468</v>
      </c>
      <c r="F689" s="9" t="s">
        <v>1149</v>
      </c>
      <c r="G689" s="54">
        <v>6197</v>
      </c>
      <c r="H689" s="54">
        <v>0</v>
      </c>
      <c r="I689" s="54">
        <f t="shared" si="23"/>
        <v>6197</v>
      </c>
      <c r="J689" s="54" t="e">
        <f>+#REF!+#REF!+#REF!+#REF!</f>
        <v>#REF!</v>
      </c>
      <c r="K689" s="8">
        <v>45049</v>
      </c>
    </row>
    <row r="690" spans="1:11" s="1" customFormat="1" ht="90" x14ac:dyDescent="0.2">
      <c r="A690" s="7">
        <v>147</v>
      </c>
      <c r="B690" s="38">
        <v>45049</v>
      </c>
      <c r="C690" s="9" t="s">
        <v>1469</v>
      </c>
      <c r="D690" s="9" t="s">
        <v>252</v>
      </c>
      <c r="E690" s="9" t="s">
        <v>1470</v>
      </c>
      <c r="F690" s="9" t="s">
        <v>523</v>
      </c>
      <c r="G690" s="54">
        <v>4525.5</v>
      </c>
      <c r="H690" s="54">
        <f>407+407</f>
        <v>814</v>
      </c>
      <c r="I690" s="54">
        <f t="shared" si="23"/>
        <v>5339.5</v>
      </c>
      <c r="J690" s="54" t="e">
        <f>+#REF!+#REF!+#REF!+#REF!+0.5</f>
        <v>#REF!</v>
      </c>
      <c r="K690" s="8">
        <v>45140</v>
      </c>
    </row>
    <row r="691" spans="1:11" s="1" customFormat="1" ht="105" x14ac:dyDescent="0.2">
      <c r="A691" s="7">
        <v>148</v>
      </c>
      <c r="B691" s="38">
        <v>45049</v>
      </c>
      <c r="C691" s="9">
        <v>2</v>
      </c>
      <c r="D691" s="9" t="s">
        <v>252</v>
      </c>
      <c r="E691" s="9" t="s">
        <v>1471</v>
      </c>
      <c r="F691" s="9" t="s">
        <v>1472</v>
      </c>
      <c r="G691" s="54">
        <v>125200</v>
      </c>
      <c r="H691" s="54">
        <f>11268+11268</f>
        <v>22536</v>
      </c>
      <c r="I691" s="54">
        <f t="shared" si="23"/>
        <v>147736</v>
      </c>
      <c r="J691" s="54" t="e">
        <f>+#REF!+#REF!+#REF!+#REF!</f>
        <v>#REF!</v>
      </c>
      <c r="K691" s="8" t="s">
        <v>1928</v>
      </c>
    </row>
    <row r="692" spans="1:11" s="1" customFormat="1" ht="30" x14ac:dyDescent="0.2">
      <c r="A692" s="7">
        <v>149</v>
      </c>
      <c r="B692" s="38">
        <v>45050</v>
      </c>
      <c r="C692" s="9" t="s">
        <v>1473</v>
      </c>
      <c r="D692" s="9" t="s">
        <v>252</v>
      </c>
      <c r="E692" s="9" t="s">
        <v>1154</v>
      </c>
      <c r="F692" s="9" t="s">
        <v>1149</v>
      </c>
      <c r="G692" s="54">
        <v>13958</v>
      </c>
      <c r="H692" s="54">
        <v>0</v>
      </c>
      <c r="I692" s="54">
        <f t="shared" si="23"/>
        <v>13958</v>
      </c>
      <c r="J692" s="54" t="e">
        <f>+#REF!+#REF!+#REF!+#REF!</f>
        <v>#REF!</v>
      </c>
      <c r="K692" s="8">
        <v>45050</v>
      </c>
    </row>
    <row r="693" spans="1:11" s="1" customFormat="1" ht="45" x14ac:dyDescent="0.2">
      <c r="A693" s="7">
        <v>150</v>
      </c>
      <c r="B693" s="38">
        <v>45051</v>
      </c>
      <c r="C693" s="9" t="s">
        <v>635</v>
      </c>
      <c r="D693" s="9" t="s">
        <v>252</v>
      </c>
      <c r="E693" s="9" t="s">
        <v>1475</v>
      </c>
      <c r="F693" s="9" t="s">
        <v>1474</v>
      </c>
      <c r="G693" s="54">
        <v>10000</v>
      </c>
      <c r="H693" s="54">
        <v>0</v>
      </c>
      <c r="I693" s="54">
        <f t="shared" si="23"/>
        <v>10000</v>
      </c>
      <c r="J693" s="54" t="e">
        <f>+#REF!+#REF!+#REF!+#REF!</f>
        <v>#REF!</v>
      </c>
      <c r="K693" s="8">
        <v>45051</v>
      </c>
    </row>
    <row r="694" spans="1:11" s="1" customFormat="1" ht="30" x14ac:dyDescent="0.2">
      <c r="A694" s="7">
        <v>151</v>
      </c>
      <c r="B694" s="38">
        <v>45051</v>
      </c>
      <c r="C694" s="9" t="s">
        <v>1476</v>
      </c>
      <c r="D694" s="9" t="s">
        <v>252</v>
      </c>
      <c r="E694" s="9" t="s">
        <v>1148</v>
      </c>
      <c r="F694" s="9" t="s">
        <v>1149</v>
      </c>
      <c r="G694" s="54">
        <v>18610</v>
      </c>
      <c r="H694" s="54">
        <v>0</v>
      </c>
      <c r="I694" s="54">
        <f t="shared" si="23"/>
        <v>18610</v>
      </c>
      <c r="J694" s="54" t="e">
        <f>+#REF!+#REF!+#REF!+#REF!</f>
        <v>#REF!</v>
      </c>
      <c r="K694" s="8">
        <v>45051</v>
      </c>
    </row>
    <row r="695" spans="1:11" s="1" customFormat="1" ht="45" x14ac:dyDescent="0.2">
      <c r="A695" s="7">
        <v>152</v>
      </c>
      <c r="B695" s="38">
        <v>45051</v>
      </c>
      <c r="C695" s="9" t="s">
        <v>1477</v>
      </c>
      <c r="D695" s="9" t="s">
        <v>252</v>
      </c>
      <c r="E695" s="9" t="s">
        <v>1478</v>
      </c>
      <c r="F695" s="9" t="s">
        <v>1479</v>
      </c>
      <c r="G695" s="54">
        <v>131500</v>
      </c>
      <c r="H695" s="54">
        <f>11835+11835</f>
        <v>23670</v>
      </c>
      <c r="I695" s="54">
        <f t="shared" si="23"/>
        <v>155170</v>
      </c>
      <c r="J695" s="54" t="e">
        <f>+#REF!+#REF!+#REF!+#REF!</f>
        <v>#REF!</v>
      </c>
      <c r="K695" s="8">
        <v>45057</v>
      </c>
    </row>
    <row r="696" spans="1:11" s="1" customFormat="1" ht="45" x14ac:dyDescent="0.2">
      <c r="A696" s="7">
        <v>153</v>
      </c>
      <c r="B696" s="38">
        <v>45052</v>
      </c>
      <c r="C696" s="9" t="s">
        <v>635</v>
      </c>
      <c r="D696" s="9" t="s">
        <v>252</v>
      </c>
      <c r="E696" s="9" t="s">
        <v>1475</v>
      </c>
      <c r="F696" s="9" t="s">
        <v>1474</v>
      </c>
      <c r="G696" s="54">
        <v>2300</v>
      </c>
      <c r="H696" s="54">
        <v>0</v>
      </c>
      <c r="I696" s="54">
        <f t="shared" si="23"/>
        <v>2300</v>
      </c>
      <c r="J696" s="54" t="e">
        <f>+#REF!+#REF!+#REF!+#REF!</f>
        <v>#REF!</v>
      </c>
      <c r="K696" s="8">
        <v>45052</v>
      </c>
    </row>
    <row r="697" spans="1:11" s="1" customFormat="1" ht="30" x14ac:dyDescent="0.2">
      <c r="A697" s="7">
        <v>154</v>
      </c>
      <c r="B697" s="38">
        <v>45052</v>
      </c>
      <c r="C697" s="9" t="s">
        <v>1480</v>
      </c>
      <c r="D697" s="9" t="s">
        <v>252</v>
      </c>
      <c r="E697" s="9" t="s">
        <v>1148</v>
      </c>
      <c r="F697" s="9" t="s">
        <v>1149</v>
      </c>
      <c r="G697" s="54">
        <v>18610</v>
      </c>
      <c r="H697" s="54">
        <v>0</v>
      </c>
      <c r="I697" s="54">
        <f t="shared" si="23"/>
        <v>18610</v>
      </c>
      <c r="J697" s="54" t="e">
        <f>+#REF!+#REF!+#REF!+#REF!</f>
        <v>#REF!</v>
      </c>
      <c r="K697" s="8">
        <v>45052</v>
      </c>
    </row>
    <row r="698" spans="1:11" s="1" customFormat="1" ht="30" x14ac:dyDescent="0.2">
      <c r="A698" s="7">
        <v>155</v>
      </c>
      <c r="B698" s="38">
        <v>45052</v>
      </c>
      <c r="C698" s="9" t="s">
        <v>1481</v>
      </c>
      <c r="D698" s="9" t="s">
        <v>252</v>
      </c>
      <c r="E698" s="9" t="s">
        <v>1154</v>
      </c>
      <c r="F698" s="9" t="s">
        <v>1149</v>
      </c>
      <c r="G698" s="54">
        <v>13958</v>
      </c>
      <c r="H698" s="54">
        <v>0</v>
      </c>
      <c r="I698" s="54">
        <f t="shared" si="23"/>
        <v>13958</v>
      </c>
      <c r="J698" s="54" t="e">
        <f>+#REF!+#REF!+#REF!+#REF!</f>
        <v>#REF!</v>
      </c>
      <c r="K698" s="8">
        <v>45052</v>
      </c>
    </row>
    <row r="699" spans="1:11" s="1" customFormat="1" ht="30" x14ac:dyDescent="0.2">
      <c r="A699" s="7">
        <v>156</v>
      </c>
      <c r="B699" s="38">
        <v>45054</v>
      </c>
      <c r="C699" s="9" t="s">
        <v>1482</v>
      </c>
      <c r="D699" s="9" t="s">
        <v>252</v>
      </c>
      <c r="E699" s="9" t="s">
        <v>1148</v>
      </c>
      <c r="F699" s="9" t="s">
        <v>1149</v>
      </c>
      <c r="G699" s="54">
        <v>18610</v>
      </c>
      <c r="H699" s="54">
        <v>0</v>
      </c>
      <c r="I699" s="54">
        <f t="shared" si="23"/>
        <v>18610</v>
      </c>
      <c r="J699" s="54" t="e">
        <f>+#REF!+#REF!+#REF!+#REF!</f>
        <v>#REF!</v>
      </c>
      <c r="K699" s="8">
        <v>45054</v>
      </c>
    </row>
    <row r="700" spans="1:11" s="1" customFormat="1" ht="60" x14ac:dyDescent="0.2">
      <c r="A700" s="7">
        <v>157</v>
      </c>
      <c r="B700" s="38">
        <v>45054</v>
      </c>
      <c r="C700" s="9" t="s">
        <v>1483</v>
      </c>
      <c r="D700" s="9" t="s">
        <v>252</v>
      </c>
      <c r="E700" s="9" t="s">
        <v>1484</v>
      </c>
      <c r="F700" s="9" t="s">
        <v>151</v>
      </c>
      <c r="G700" s="54">
        <v>115280</v>
      </c>
      <c r="H700" s="54">
        <f>10375+10375</f>
        <v>20750</v>
      </c>
      <c r="I700" s="54">
        <f t="shared" si="23"/>
        <v>136030</v>
      </c>
      <c r="J700" s="54" t="e">
        <f>+#REF!+#REF!+#REF!+#REF!</f>
        <v>#REF!</v>
      </c>
      <c r="K700" s="8">
        <v>45217</v>
      </c>
    </row>
    <row r="701" spans="1:11" s="1" customFormat="1" ht="30" x14ac:dyDescent="0.2">
      <c r="A701" s="7">
        <v>158</v>
      </c>
      <c r="B701" s="38">
        <v>45055</v>
      </c>
      <c r="C701" s="9" t="s">
        <v>1485</v>
      </c>
      <c r="D701" s="9" t="s">
        <v>252</v>
      </c>
      <c r="E701" s="9" t="s">
        <v>1154</v>
      </c>
      <c r="F701" s="9" t="s">
        <v>1149</v>
      </c>
      <c r="G701" s="54">
        <v>13958</v>
      </c>
      <c r="H701" s="54">
        <v>0</v>
      </c>
      <c r="I701" s="54">
        <f t="shared" si="23"/>
        <v>13958</v>
      </c>
      <c r="J701" s="54" t="e">
        <f>+#REF!+#REF!+#REF!+#REF!</f>
        <v>#REF!</v>
      </c>
      <c r="K701" s="8">
        <v>45055</v>
      </c>
    </row>
    <row r="702" spans="1:11" s="1" customFormat="1" ht="30" x14ac:dyDescent="0.2">
      <c r="A702" s="7">
        <v>159</v>
      </c>
      <c r="B702" s="38">
        <v>45056</v>
      </c>
      <c r="C702" s="9" t="s">
        <v>1486</v>
      </c>
      <c r="D702" s="9" t="s">
        <v>252</v>
      </c>
      <c r="E702" s="9" t="s">
        <v>1148</v>
      </c>
      <c r="F702" s="9" t="s">
        <v>1149</v>
      </c>
      <c r="G702" s="54">
        <v>18610</v>
      </c>
      <c r="H702" s="54">
        <v>0</v>
      </c>
      <c r="I702" s="54">
        <f t="shared" si="23"/>
        <v>18610</v>
      </c>
      <c r="J702" s="54" t="e">
        <f>+#REF!+#REF!+#REF!+#REF!</f>
        <v>#REF!</v>
      </c>
      <c r="K702" s="8">
        <v>45056</v>
      </c>
    </row>
    <row r="703" spans="1:11" s="1" customFormat="1" ht="30" x14ac:dyDescent="0.2">
      <c r="A703" s="7">
        <v>160</v>
      </c>
      <c r="B703" s="38">
        <v>45057</v>
      </c>
      <c r="C703" s="9" t="s">
        <v>1487</v>
      </c>
      <c r="D703" s="9" t="s">
        <v>252</v>
      </c>
      <c r="E703" s="9" t="s">
        <v>1148</v>
      </c>
      <c r="F703" s="9" t="s">
        <v>1149</v>
      </c>
      <c r="G703" s="54">
        <v>18610</v>
      </c>
      <c r="H703" s="54">
        <v>0</v>
      </c>
      <c r="I703" s="54">
        <f t="shared" si="23"/>
        <v>18610</v>
      </c>
      <c r="J703" s="54" t="e">
        <f>+#REF!+#REF!+#REF!+#REF!</f>
        <v>#REF!</v>
      </c>
      <c r="K703" s="8">
        <v>45057</v>
      </c>
    </row>
    <row r="704" spans="1:11" s="1" customFormat="1" ht="45" x14ac:dyDescent="0.2">
      <c r="A704" s="7">
        <v>162</v>
      </c>
      <c r="B704" s="38">
        <v>45058</v>
      </c>
      <c r="C704" s="9"/>
      <c r="D704" s="9" t="s">
        <v>252</v>
      </c>
      <c r="E704" s="9" t="s">
        <v>1648</v>
      </c>
      <c r="F704" s="9" t="s">
        <v>987</v>
      </c>
      <c r="G704" s="54">
        <v>7412</v>
      </c>
      <c r="H704" s="54">
        <v>0</v>
      </c>
      <c r="I704" s="54">
        <f t="shared" ref="I704:I740" si="24">+G704+H704</f>
        <v>7412</v>
      </c>
      <c r="J704" s="54" t="e">
        <f>+#REF!+#REF!+#REF!+#REF!</f>
        <v>#REF!</v>
      </c>
      <c r="K704" s="8">
        <v>45057</v>
      </c>
    </row>
    <row r="705" spans="1:11" s="1" customFormat="1" ht="105" x14ac:dyDescent="0.2">
      <c r="A705" s="7">
        <v>163</v>
      </c>
      <c r="B705" s="38">
        <v>45059</v>
      </c>
      <c r="C705" s="9">
        <v>27</v>
      </c>
      <c r="D705" s="9" t="s">
        <v>252</v>
      </c>
      <c r="E705" s="9" t="s">
        <v>1494</v>
      </c>
      <c r="F705" s="9" t="s">
        <v>1028</v>
      </c>
      <c r="G705" s="54">
        <v>599750</v>
      </c>
      <c r="H705" s="54">
        <f>53978+53978</f>
        <v>107956</v>
      </c>
      <c r="I705" s="54">
        <f t="shared" si="24"/>
        <v>707706</v>
      </c>
      <c r="J705" s="54" t="e">
        <f>+#REF!+#REF!+#REF!+#REF!-1</f>
        <v>#REF!</v>
      </c>
      <c r="K705" s="8" t="s">
        <v>2024</v>
      </c>
    </row>
    <row r="706" spans="1:11" s="1" customFormat="1" ht="45" x14ac:dyDescent="0.2">
      <c r="A706" s="7">
        <v>164</v>
      </c>
      <c r="B706" s="38">
        <v>45059</v>
      </c>
      <c r="C706" s="9" t="s">
        <v>1495</v>
      </c>
      <c r="D706" s="9" t="s">
        <v>252</v>
      </c>
      <c r="E706" s="9" t="s">
        <v>1496</v>
      </c>
      <c r="F706" s="9" t="s">
        <v>1479</v>
      </c>
      <c r="G706" s="54">
        <v>49500</v>
      </c>
      <c r="H706" s="54">
        <f>4455+4455</f>
        <v>8910</v>
      </c>
      <c r="I706" s="54">
        <f t="shared" si="24"/>
        <v>58410</v>
      </c>
      <c r="J706" s="54" t="e">
        <f>+#REF!+#REF!+#REF!+#REF!</f>
        <v>#REF!</v>
      </c>
      <c r="K706" s="8">
        <v>45080</v>
      </c>
    </row>
    <row r="707" spans="1:11" s="1" customFormat="1" ht="105" x14ac:dyDescent="0.2">
      <c r="A707" s="7">
        <v>165</v>
      </c>
      <c r="B707" s="38">
        <v>45068</v>
      </c>
      <c r="C707" s="9" t="s">
        <v>1626</v>
      </c>
      <c r="D707" s="9" t="s">
        <v>252</v>
      </c>
      <c r="E707" s="9" t="s">
        <v>1627</v>
      </c>
      <c r="F707" s="9" t="s">
        <v>1628</v>
      </c>
      <c r="G707" s="54">
        <v>6251.3</v>
      </c>
      <c r="H707" s="54">
        <f>563+563</f>
        <v>1126</v>
      </c>
      <c r="I707" s="54">
        <f t="shared" si="24"/>
        <v>7377.3</v>
      </c>
      <c r="J707" s="54" t="e">
        <f>+#REF!+#REF!+#REF!+#REF!-0.3</f>
        <v>#REF!</v>
      </c>
      <c r="K707" s="8">
        <v>45136</v>
      </c>
    </row>
    <row r="708" spans="1:11" s="1" customFormat="1" ht="90" x14ac:dyDescent="0.2">
      <c r="A708" s="7">
        <v>166</v>
      </c>
      <c r="B708" s="38">
        <v>45077</v>
      </c>
      <c r="C708" s="9" t="s">
        <v>1629</v>
      </c>
      <c r="D708" s="9" t="s">
        <v>252</v>
      </c>
      <c r="E708" s="9" t="s">
        <v>1630</v>
      </c>
      <c r="F708" s="9" t="s">
        <v>151</v>
      </c>
      <c r="G708" s="54">
        <v>2625.2</v>
      </c>
      <c r="H708" s="54">
        <f>236+236</f>
        <v>472</v>
      </c>
      <c r="I708" s="54">
        <f t="shared" si="24"/>
        <v>3097.2</v>
      </c>
      <c r="J708" s="54" t="e">
        <f>+#REF!+#REF!+#REF!+#REF!+0.8</f>
        <v>#REF!</v>
      </c>
      <c r="K708" s="8">
        <v>45217</v>
      </c>
    </row>
    <row r="709" spans="1:11" s="1" customFormat="1" ht="30" x14ac:dyDescent="0.2">
      <c r="A709" s="7">
        <v>167</v>
      </c>
      <c r="B709" s="38">
        <v>45077</v>
      </c>
      <c r="C709" s="9" t="s">
        <v>1657</v>
      </c>
      <c r="D709" s="9" t="s">
        <v>252</v>
      </c>
      <c r="E709" s="9" t="s">
        <v>1658</v>
      </c>
      <c r="F709" s="9" t="s">
        <v>46</v>
      </c>
      <c r="G709" s="54">
        <v>50000</v>
      </c>
      <c r="H709" s="54">
        <f>4500+4500</f>
        <v>9000</v>
      </c>
      <c r="I709" s="54">
        <f t="shared" si="24"/>
        <v>59000</v>
      </c>
      <c r="J709" s="54" t="e">
        <f>+#REF!+#REF!+#REF!+#REF!</f>
        <v>#REF!</v>
      </c>
      <c r="K709" s="8">
        <v>45199</v>
      </c>
    </row>
    <row r="710" spans="1:11" s="1" customFormat="1" ht="30" x14ac:dyDescent="0.2">
      <c r="A710" s="7">
        <v>168</v>
      </c>
      <c r="B710" s="38">
        <v>45077</v>
      </c>
      <c r="C710" s="9" t="s">
        <v>1659</v>
      </c>
      <c r="D710" s="9" t="s">
        <v>252</v>
      </c>
      <c r="E710" s="9" t="s">
        <v>1660</v>
      </c>
      <c r="F710" s="9" t="s">
        <v>46</v>
      </c>
      <c r="G710" s="54">
        <v>20000</v>
      </c>
      <c r="H710" s="54">
        <f>1800+1800</f>
        <v>3600</v>
      </c>
      <c r="I710" s="54">
        <f t="shared" si="24"/>
        <v>23600</v>
      </c>
      <c r="J710" s="54" t="e">
        <f>+#REF!+#REF!+#REF!+#REF!</f>
        <v>#REF!</v>
      </c>
      <c r="K710" s="8">
        <v>45199</v>
      </c>
    </row>
    <row r="711" spans="1:11" s="1" customFormat="1" ht="30" x14ac:dyDescent="0.2">
      <c r="A711" s="7">
        <v>169</v>
      </c>
      <c r="B711" s="38">
        <v>45077</v>
      </c>
      <c r="C711" s="9" t="s">
        <v>1661</v>
      </c>
      <c r="D711" s="9" t="s">
        <v>252</v>
      </c>
      <c r="E711" s="9" t="s">
        <v>1662</v>
      </c>
      <c r="F711" s="9" t="s">
        <v>46</v>
      </c>
      <c r="G711" s="54">
        <v>70000</v>
      </c>
      <c r="H711" s="54">
        <f>6300+6300</f>
        <v>12600</v>
      </c>
      <c r="I711" s="54">
        <f t="shared" si="24"/>
        <v>82600</v>
      </c>
      <c r="J711" s="54" t="e">
        <f>+#REF!+#REF!+#REF!+#REF!</f>
        <v>#REF!</v>
      </c>
      <c r="K711" s="8">
        <v>45199</v>
      </c>
    </row>
    <row r="712" spans="1:11" s="1" customFormat="1" ht="75" x14ac:dyDescent="0.2">
      <c r="A712" s="7">
        <v>170</v>
      </c>
      <c r="B712" s="38">
        <v>45077</v>
      </c>
      <c r="C712" s="9" t="s">
        <v>1663</v>
      </c>
      <c r="D712" s="9" t="s">
        <v>252</v>
      </c>
      <c r="E712" s="9" t="s">
        <v>1664</v>
      </c>
      <c r="F712" s="9" t="s">
        <v>46</v>
      </c>
      <c r="G712" s="54">
        <v>95000</v>
      </c>
      <c r="H712" s="54">
        <f>8550+8550</f>
        <v>17100</v>
      </c>
      <c r="I712" s="54">
        <f t="shared" si="24"/>
        <v>112100</v>
      </c>
      <c r="J712" s="54" t="e">
        <f>+#REF!+#REF!+#REF!+#REF!</f>
        <v>#REF!</v>
      </c>
      <c r="K712" s="8">
        <v>45059</v>
      </c>
    </row>
    <row r="713" spans="1:11" s="1" customFormat="1" ht="120" x14ac:dyDescent="0.2">
      <c r="A713" s="7">
        <v>171</v>
      </c>
      <c r="B713" s="38">
        <v>45080</v>
      </c>
      <c r="C713" s="9" t="s">
        <v>1674</v>
      </c>
      <c r="D713" s="9" t="s">
        <v>252</v>
      </c>
      <c r="E713" s="9" t="s">
        <v>1675</v>
      </c>
      <c r="F713" s="9" t="s">
        <v>151</v>
      </c>
      <c r="G713" s="54">
        <v>44215</v>
      </c>
      <c r="H713" s="54">
        <f>3979+3979</f>
        <v>7958</v>
      </c>
      <c r="I713" s="54">
        <f t="shared" si="24"/>
        <v>52173</v>
      </c>
      <c r="J713" s="54" t="e">
        <f>+#REF!+#REF!+#REF!+#REF!+1</f>
        <v>#REF!</v>
      </c>
      <c r="K713" s="8">
        <v>45171</v>
      </c>
    </row>
    <row r="714" spans="1:11" s="1" customFormat="1" ht="60" x14ac:dyDescent="0.2">
      <c r="A714" s="7">
        <v>172</v>
      </c>
      <c r="B714" s="38">
        <v>45100</v>
      </c>
      <c r="C714" s="9" t="s">
        <v>1709</v>
      </c>
      <c r="D714" s="9" t="s">
        <v>252</v>
      </c>
      <c r="E714" s="9" t="s">
        <v>1710</v>
      </c>
      <c r="F714" s="9" t="s">
        <v>1711</v>
      </c>
      <c r="G714" s="54">
        <v>24385</v>
      </c>
      <c r="H714" s="54">
        <f>2195+2195</f>
        <v>4390</v>
      </c>
      <c r="I714" s="54">
        <f t="shared" si="24"/>
        <v>28775</v>
      </c>
      <c r="J714" s="54" t="e">
        <f>+#REF!+#REF!+#REF!+#REF!</f>
        <v>#REF!</v>
      </c>
      <c r="K714" s="8">
        <v>45100</v>
      </c>
    </row>
    <row r="715" spans="1:11" s="1" customFormat="1" ht="75" x14ac:dyDescent="0.2">
      <c r="A715" s="7">
        <v>173</v>
      </c>
      <c r="B715" s="38">
        <v>45107</v>
      </c>
      <c r="C715" s="9" t="s">
        <v>1728</v>
      </c>
      <c r="D715" s="9" t="s">
        <v>252</v>
      </c>
      <c r="E715" s="9" t="s">
        <v>1729</v>
      </c>
      <c r="F715" s="9" t="s">
        <v>151</v>
      </c>
      <c r="G715" s="54">
        <v>42120</v>
      </c>
      <c r="H715" s="54">
        <f>3791+3791</f>
        <v>7582</v>
      </c>
      <c r="I715" s="54">
        <f t="shared" si="24"/>
        <v>49702</v>
      </c>
      <c r="J715" s="54" t="e">
        <f>+#REF!+#REF!+#REF!+#REF!</f>
        <v>#REF!</v>
      </c>
      <c r="K715" s="8">
        <v>45171</v>
      </c>
    </row>
    <row r="716" spans="1:11" s="1" customFormat="1" ht="75" x14ac:dyDescent="0.2">
      <c r="A716" s="7">
        <v>174</v>
      </c>
      <c r="B716" s="38">
        <v>45107</v>
      </c>
      <c r="C716" s="9" t="s">
        <v>1730</v>
      </c>
      <c r="D716" s="9" t="s">
        <v>252</v>
      </c>
      <c r="E716" s="9" t="s">
        <v>1731</v>
      </c>
      <c r="F716" s="9" t="s">
        <v>151</v>
      </c>
      <c r="G716" s="54">
        <v>3537.5</v>
      </c>
      <c r="H716" s="54">
        <f>318+318</f>
        <v>636</v>
      </c>
      <c r="I716" s="54">
        <f t="shared" si="24"/>
        <v>4173.5</v>
      </c>
      <c r="J716" s="54" t="e">
        <f>+#REF!+#REF!+#REF!+#REF!+0.5</f>
        <v>#REF!</v>
      </c>
      <c r="K716" s="8">
        <v>45171</v>
      </c>
    </row>
    <row r="717" spans="1:11" s="1" customFormat="1" ht="45" x14ac:dyDescent="0.2">
      <c r="A717" s="7">
        <v>175</v>
      </c>
      <c r="B717" s="38">
        <v>45107</v>
      </c>
      <c r="C717" s="9" t="s">
        <v>1744</v>
      </c>
      <c r="D717" s="9" t="s">
        <v>252</v>
      </c>
      <c r="E717" s="9" t="s">
        <v>1745</v>
      </c>
      <c r="F717" s="9" t="s">
        <v>206</v>
      </c>
      <c r="G717" s="54">
        <v>8487.5</v>
      </c>
      <c r="H717" s="54">
        <f>764+764</f>
        <v>1528</v>
      </c>
      <c r="I717" s="54">
        <f t="shared" si="24"/>
        <v>10015.5</v>
      </c>
      <c r="J717" s="54" t="e">
        <f>+#REF!+#REF!+#REF!+#REF!-0.5</f>
        <v>#REF!</v>
      </c>
      <c r="K717" s="8">
        <v>45162</v>
      </c>
    </row>
    <row r="718" spans="1:11" s="1" customFormat="1" ht="105" x14ac:dyDescent="0.2">
      <c r="A718" s="7">
        <v>176</v>
      </c>
      <c r="B718" s="38">
        <v>45117</v>
      </c>
      <c r="C718" s="9" t="s">
        <v>1780</v>
      </c>
      <c r="D718" s="9" t="s">
        <v>252</v>
      </c>
      <c r="E718" s="9" t="s">
        <v>1781</v>
      </c>
      <c r="F718" s="9" t="s">
        <v>705</v>
      </c>
      <c r="G718" s="54">
        <v>88723</v>
      </c>
      <c r="H718" s="54">
        <f>7985+7985</f>
        <v>15970</v>
      </c>
      <c r="I718" s="54">
        <f t="shared" si="24"/>
        <v>104693</v>
      </c>
      <c r="J718" s="54" t="e">
        <f>+#REF!+#REF!+#REF!+#REF!</f>
        <v>#REF!</v>
      </c>
      <c r="K718" s="8">
        <v>45167</v>
      </c>
    </row>
    <row r="719" spans="1:11" s="1" customFormat="1" ht="45" x14ac:dyDescent="0.2">
      <c r="A719" s="7">
        <v>177</v>
      </c>
      <c r="B719" s="38">
        <v>45121</v>
      </c>
      <c r="C719" s="9" t="s">
        <v>1762</v>
      </c>
      <c r="D719" s="9" t="s">
        <v>252</v>
      </c>
      <c r="E719" s="9" t="s">
        <v>1763</v>
      </c>
      <c r="F719" s="9" t="s">
        <v>275</v>
      </c>
      <c r="G719" s="54">
        <v>32600</v>
      </c>
      <c r="H719" s="54">
        <v>5868</v>
      </c>
      <c r="I719" s="54">
        <f t="shared" si="24"/>
        <v>38468</v>
      </c>
      <c r="J719" s="54" t="e">
        <f>+#REF!+#REF!+#REF!+#REF!</f>
        <v>#REF!</v>
      </c>
      <c r="K719" s="8">
        <v>45140</v>
      </c>
    </row>
    <row r="720" spans="1:11" s="1" customFormat="1" ht="135" x14ac:dyDescent="0.2">
      <c r="A720" s="7">
        <v>178</v>
      </c>
      <c r="B720" s="38">
        <v>45138</v>
      </c>
      <c r="C720" s="9" t="s">
        <v>1811</v>
      </c>
      <c r="D720" s="9" t="s">
        <v>252</v>
      </c>
      <c r="E720" s="9" t="s">
        <v>1812</v>
      </c>
      <c r="F720" s="9" t="s">
        <v>1164</v>
      </c>
      <c r="G720" s="54">
        <v>78970.48</v>
      </c>
      <c r="H720" s="54">
        <f>7107+7107</f>
        <v>14214</v>
      </c>
      <c r="I720" s="54">
        <f t="shared" si="24"/>
        <v>93184.48</v>
      </c>
      <c r="J720" s="54" t="e">
        <f>+#REF!+#REF!+#REF!+#REF!+0.52</f>
        <v>#REF!</v>
      </c>
      <c r="K720" s="8">
        <v>45190</v>
      </c>
    </row>
    <row r="721" spans="1:11" s="1" customFormat="1" ht="30" x14ac:dyDescent="0.2">
      <c r="A721" s="7">
        <v>179</v>
      </c>
      <c r="B721" s="38">
        <v>45138</v>
      </c>
      <c r="C721" s="9" t="s">
        <v>923</v>
      </c>
      <c r="D721" s="9" t="s">
        <v>252</v>
      </c>
      <c r="E721" s="9" t="s">
        <v>1810</v>
      </c>
      <c r="F721" s="9" t="s">
        <v>464</v>
      </c>
      <c r="G721" s="54">
        <v>-78970.48</v>
      </c>
      <c r="H721" s="54">
        <f>-7107-7107</f>
        <v>-14214</v>
      </c>
      <c r="I721" s="54">
        <f t="shared" si="24"/>
        <v>-93184.48</v>
      </c>
      <c r="J721" s="54" t="e">
        <f>+#REF!+#REF!+#REF!+#REF!-0.52</f>
        <v>#REF!</v>
      </c>
      <c r="K721" s="8"/>
    </row>
    <row r="722" spans="1:11" s="1" customFormat="1" ht="90" x14ac:dyDescent="0.2">
      <c r="A722" s="7">
        <v>180</v>
      </c>
      <c r="B722" s="38">
        <v>45168</v>
      </c>
      <c r="C722" s="9" t="s">
        <v>1861</v>
      </c>
      <c r="D722" s="9" t="s">
        <v>252</v>
      </c>
      <c r="E722" s="9" t="s">
        <v>1862</v>
      </c>
      <c r="F722" s="9" t="s">
        <v>151</v>
      </c>
      <c r="G722" s="54">
        <v>20339</v>
      </c>
      <c r="H722" s="54">
        <f>1831+1831</f>
        <v>3662</v>
      </c>
      <c r="I722" s="54">
        <f t="shared" si="24"/>
        <v>24001</v>
      </c>
      <c r="J722" s="54">
        <v>0</v>
      </c>
      <c r="K722" s="8"/>
    </row>
    <row r="723" spans="1:11" s="1" customFormat="1" ht="90" x14ac:dyDescent="0.2">
      <c r="A723" s="7">
        <v>181</v>
      </c>
      <c r="B723" s="38">
        <v>45168</v>
      </c>
      <c r="C723" s="9" t="s">
        <v>1863</v>
      </c>
      <c r="D723" s="9" t="s">
        <v>252</v>
      </c>
      <c r="E723" s="9" t="s">
        <v>1864</v>
      </c>
      <c r="F723" s="9" t="s">
        <v>151</v>
      </c>
      <c r="G723" s="54">
        <v>13135</v>
      </c>
      <c r="H723" s="54">
        <f>1182+1182</f>
        <v>2364</v>
      </c>
      <c r="I723" s="54">
        <f t="shared" si="24"/>
        <v>15499</v>
      </c>
      <c r="J723" s="54" t="e">
        <f>+#REF!+#REF!+#REF!+#REF!</f>
        <v>#REF!</v>
      </c>
      <c r="K723" s="8"/>
    </row>
    <row r="724" spans="1:11" s="1" customFormat="1" ht="30" x14ac:dyDescent="0.2">
      <c r="A724" s="7">
        <v>182</v>
      </c>
      <c r="B724" s="38">
        <v>45168</v>
      </c>
      <c r="C724" s="9" t="s">
        <v>1865</v>
      </c>
      <c r="D724" s="9" t="s">
        <v>252</v>
      </c>
      <c r="E724" s="9" t="s">
        <v>1866</v>
      </c>
      <c r="F724" s="9" t="s">
        <v>151</v>
      </c>
      <c r="G724" s="54">
        <v>9360</v>
      </c>
      <c r="H724" s="54">
        <f>842+842</f>
        <v>1684</v>
      </c>
      <c r="I724" s="54">
        <f t="shared" si="24"/>
        <v>11044</v>
      </c>
      <c r="J724" s="54" t="e">
        <f>+#REF!+#REF!+#REF!+#REF!</f>
        <v>#REF!</v>
      </c>
      <c r="K724" s="8"/>
    </row>
    <row r="725" spans="1:11" s="1" customFormat="1" ht="90" x14ac:dyDescent="0.2">
      <c r="A725" s="7">
        <v>183</v>
      </c>
      <c r="B725" s="38">
        <v>45168</v>
      </c>
      <c r="C725" s="9" t="s">
        <v>1867</v>
      </c>
      <c r="D725" s="9" t="s">
        <v>252</v>
      </c>
      <c r="E725" s="9" t="s">
        <v>1868</v>
      </c>
      <c r="F725" s="9" t="s">
        <v>151</v>
      </c>
      <c r="G725" s="54">
        <v>12352.8</v>
      </c>
      <c r="H725" s="54">
        <f>1112+1112</f>
        <v>2224</v>
      </c>
      <c r="I725" s="54">
        <f t="shared" si="24"/>
        <v>14576.8</v>
      </c>
      <c r="J725" s="54">
        <v>0</v>
      </c>
      <c r="K725" s="8"/>
    </row>
    <row r="726" spans="1:11" s="1" customFormat="1" ht="45" x14ac:dyDescent="0.2">
      <c r="A726" s="7">
        <v>184</v>
      </c>
      <c r="B726" s="38">
        <v>45150</v>
      </c>
      <c r="C726" s="9" t="s">
        <v>1884</v>
      </c>
      <c r="D726" s="9" t="s">
        <v>252</v>
      </c>
      <c r="E726" s="9" t="s">
        <v>1885</v>
      </c>
      <c r="F726" s="9" t="s">
        <v>665</v>
      </c>
      <c r="G726" s="54">
        <v>3643.85</v>
      </c>
      <c r="H726" s="54">
        <f>328+328</f>
        <v>656</v>
      </c>
      <c r="I726" s="54">
        <f t="shared" si="24"/>
        <v>4299.8500000000004</v>
      </c>
      <c r="J726" s="54" t="e">
        <f>+#REF!+#REF!+#REF!+#REF!+0.15</f>
        <v>#REF!</v>
      </c>
      <c r="K726" s="8"/>
    </row>
    <row r="727" spans="1:11" s="1" customFormat="1" ht="60" x14ac:dyDescent="0.2">
      <c r="A727" s="7">
        <v>185</v>
      </c>
      <c r="B727" s="38">
        <v>45183</v>
      </c>
      <c r="C727" s="9" t="s">
        <v>1897</v>
      </c>
      <c r="D727" s="9" t="s">
        <v>252</v>
      </c>
      <c r="E727" s="9" t="s">
        <v>1898</v>
      </c>
      <c r="F727" s="9" t="s">
        <v>1899</v>
      </c>
      <c r="G727" s="54">
        <v>940000</v>
      </c>
      <c r="H727" s="54">
        <f>84600+84600</f>
        <v>169200</v>
      </c>
      <c r="I727" s="54">
        <f t="shared" si="24"/>
        <v>1109200</v>
      </c>
      <c r="J727" s="54" t="e">
        <f>+#REF!+#REF!+#REF!+#REF!</f>
        <v>#REF!</v>
      </c>
      <c r="K727" s="8" t="s">
        <v>2049</v>
      </c>
    </row>
    <row r="728" spans="1:11" s="1" customFormat="1" ht="45" x14ac:dyDescent="0.2">
      <c r="A728" s="7">
        <v>186</v>
      </c>
      <c r="B728" s="38">
        <v>45183</v>
      </c>
      <c r="C728" s="9" t="s">
        <v>1900</v>
      </c>
      <c r="D728" s="9" t="s">
        <v>252</v>
      </c>
      <c r="E728" s="9" t="s">
        <v>1901</v>
      </c>
      <c r="F728" s="9" t="s">
        <v>206</v>
      </c>
      <c r="G728" s="54">
        <v>2850</v>
      </c>
      <c r="H728" s="54">
        <f>257+257</f>
        <v>514</v>
      </c>
      <c r="I728" s="54">
        <f t="shared" si="24"/>
        <v>3364</v>
      </c>
      <c r="J728" s="54" t="e">
        <f>+#REF!+#REF!+#REF!+#REF!-1</f>
        <v>#REF!</v>
      </c>
      <c r="K728" s="8">
        <v>45261</v>
      </c>
    </row>
    <row r="729" spans="1:11" s="1" customFormat="1" ht="45" x14ac:dyDescent="0.2">
      <c r="A729" s="7">
        <v>187</v>
      </c>
      <c r="B729" s="38">
        <v>45185</v>
      </c>
      <c r="C729" s="9" t="s">
        <v>1902</v>
      </c>
      <c r="D729" s="9" t="s">
        <v>252</v>
      </c>
      <c r="E729" s="9" t="s">
        <v>1903</v>
      </c>
      <c r="F729" s="9" t="s">
        <v>303</v>
      </c>
      <c r="G729" s="54">
        <v>100000</v>
      </c>
      <c r="H729" s="54">
        <f>9000+9000</f>
        <v>18000</v>
      </c>
      <c r="I729" s="54">
        <f t="shared" si="24"/>
        <v>118000</v>
      </c>
      <c r="J729" s="54" t="e">
        <f>+#REF!+#REF!+#REF!+#REF!</f>
        <v>#REF!</v>
      </c>
      <c r="K729" s="8">
        <v>45230</v>
      </c>
    </row>
    <row r="730" spans="1:11" s="1" customFormat="1" ht="45" x14ac:dyDescent="0.2">
      <c r="A730" s="7">
        <v>188</v>
      </c>
      <c r="B730" s="38">
        <v>45199</v>
      </c>
      <c r="C730" s="9">
        <v>107</v>
      </c>
      <c r="D730" s="9" t="s">
        <v>252</v>
      </c>
      <c r="E730" s="9" t="s">
        <v>1916</v>
      </c>
      <c r="F730" s="9" t="s">
        <v>1912</v>
      </c>
      <c r="G730" s="54">
        <v>24000</v>
      </c>
      <c r="H730" s="54">
        <f>2160+2160</f>
        <v>4320</v>
      </c>
      <c r="I730" s="54">
        <f t="shared" si="24"/>
        <v>28320</v>
      </c>
      <c r="J730" s="54" t="e">
        <f>+#REF!+#REF!+#REF!+#REF!</f>
        <v>#REF!</v>
      </c>
      <c r="K730" s="8"/>
    </row>
    <row r="731" spans="1:11" s="1" customFormat="1" ht="75" x14ac:dyDescent="0.2">
      <c r="A731" s="7">
        <v>189</v>
      </c>
      <c r="B731" s="38">
        <v>45199</v>
      </c>
      <c r="C731" s="9" t="s">
        <v>1913</v>
      </c>
      <c r="D731" s="9" t="s">
        <v>252</v>
      </c>
      <c r="E731" s="9" t="s">
        <v>1914</v>
      </c>
      <c r="F731" s="9" t="s">
        <v>1915</v>
      </c>
      <c r="G731" s="54">
        <v>84600</v>
      </c>
      <c r="H731" s="54">
        <f>7614+7614</f>
        <v>15228</v>
      </c>
      <c r="I731" s="54">
        <f t="shared" si="24"/>
        <v>99828</v>
      </c>
      <c r="J731" s="54" t="e">
        <f>+#REF!+#REF!+#REF!+#REF!</f>
        <v>#REF!</v>
      </c>
      <c r="K731" s="8" t="s">
        <v>2012</v>
      </c>
    </row>
    <row r="732" spans="1:11" s="1" customFormat="1" ht="30" x14ac:dyDescent="0.2">
      <c r="A732" s="7">
        <v>190</v>
      </c>
      <c r="B732" s="38">
        <v>45199</v>
      </c>
      <c r="C732" s="9" t="s">
        <v>1917</v>
      </c>
      <c r="D732" s="9" t="s">
        <v>252</v>
      </c>
      <c r="E732" s="9" t="s">
        <v>1918</v>
      </c>
      <c r="F732" s="9" t="s">
        <v>303</v>
      </c>
      <c r="G732" s="54">
        <v>270000</v>
      </c>
      <c r="H732" s="54">
        <f>24300+24300</f>
        <v>48600</v>
      </c>
      <c r="I732" s="54">
        <f t="shared" si="24"/>
        <v>318600</v>
      </c>
      <c r="J732" s="54" t="e">
        <f>+#REF!+#REF!+#REF!+#REF!</f>
        <v>#REF!</v>
      </c>
      <c r="K732" s="8">
        <v>45259</v>
      </c>
    </row>
    <row r="733" spans="1:11" s="1" customFormat="1" ht="75" x14ac:dyDescent="0.2">
      <c r="A733" s="7">
        <v>191</v>
      </c>
      <c r="B733" s="38">
        <v>45204</v>
      </c>
      <c r="C733" s="9" t="s">
        <v>1985</v>
      </c>
      <c r="D733" s="9" t="s">
        <v>252</v>
      </c>
      <c r="E733" s="9" t="s">
        <v>1986</v>
      </c>
      <c r="F733" s="9" t="s">
        <v>1628</v>
      </c>
      <c r="G733" s="54">
        <v>4180</v>
      </c>
      <c r="H733" s="54">
        <f>376+376</f>
        <v>752</v>
      </c>
      <c r="I733" s="54">
        <f t="shared" si="24"/>
        <v>4932</v>
      </c>
      <c r="J733" s="54" t="e">
        <f>+#REF!+#REF!+#REF!+#REF!</f>
        <v>#REF!</v>
      </c>
      <c r="K733" s="8">
        <v>45261</v>
      </c>
    </row>
    <row r="734" spans="1:11" s="1" customFormat="1" ht="60" x14ac:dyDescent="0.2">
      <c r="A734" s="7"/>
      <c r="B734" s="38">
        <v>45204</v>
      </c>
      <c r="C734" s="9" t="s">
        <v>2039</v>
      </c>
      <c r="D734" s="9" t="s">
        <v>252</v>
      </c>
      <c r="E734" s="9" t="s">
        <v>2040</v>
      </c>
      <c r="F734" s="9" t="s">
        <v>1899</v>
      </c>
      <c r="G734" s="54">
        <v>130000</v>
      </c>
      <c r="H734" s="54">
        <f>11700+11700</f>
        <v>23400</v>
      </c>
      <c r="I734" s="54">
        <f t="shared" si="24"/>
        <v>153400</v>
      </c>
      <c r="J734" s="54" t="e">
        <f>+#REF!+#REF!+#REF!+#REF!</f>
        <v>#REF!</v>
      </c>
      <c r="K734" s="8">
        <v>45261</v>
      </c>
    </row>
    <row r="735" spans="1:11" s="1" customFormat="1" ht="75.75" customHeight="1" x14ac:dyDescent="0.2">
      <c r="A735" s="7">
        <v>192</v>
      </c>
      <c r="B735" s="38">
        <v>45209</v>
      </c>
      <c r="C735" s="9" t="s">
        <v>1987</v>
      </c>
      <c r="D735" s="9" t="s">
        <v>252</v>
      </c>
      <c r="E735" s="9" t="s">
        <v>1988</v>
      </c>
      <c r="F735" s="9" t="s">
        <v>206</v>
      </c>
      <c r="G735" s="54">
        <v>22806</v>
      </c>
      <c r="H735" s="54">
        <f>2053+2053</f>
        <v>4106</v>
      </c>
      <c r="I735" s="54">
        <f t="shared" si="24"/>
        <v>26912</v>
      </c>
      <c r="J735" s="54" t="e">
        <f>+#REF!+#REF!+#REF!+#REF!-1</f>
        <v>#REF!</v>
      </c>
      <c r="K735" s="8">
        <v>45261</v>
      </c>
    </row>
    <row r="736" spans="1:11" s="1" customFormat="1" ht="72.75" customHeight="1" x14ac:dyDescent="0.2">
      <c r="A736" s="7">
        <v>193</v>
      </c>
      <c r="B736" s="38">
        <v>45210</v>
      </c>
      <c r="C736" s="9" t="s">
        <v>1989</v>
      </c>
      <c r="D736" s="9" t="s">
        <v>252</v>
      </c>
      <c r="E736" s="9" t="s">
        <v>1990</v>
      </c>
      <c r="F736" s="9" t="s">
        <v>206</v>
      </c>
      <c r="G736" s="54">
        <v>7405.6</v>
      </c>
      <c r="H736" s="54">
        <f>667+667</f>
        <v>1334</v>
      </c>
      <c r="I736" s="54">
        <f t="shared" si="24"/>
        <v>8739.6</v>
      </c>
      <c r="J736" s="54" t="e">
        <f>+#REF!+#REF!+#REF!+#REF!-0.6</f>
        <v>#REF!</v>
      </c>
      <c r="K736" s="8">
        <v>45261</v>
      </c>
    </row>
    <row r="737" spans="1:11" s="1" customFormat="1" ht="73.5" customHeight="1" x14ac:dyDescent="0.2">
      <c r="A737" s="7">
        <v>194</v>
      </c>
      <c r="B737" s="38">
        <v>45213</v>
      </c>
      <c r="C737" s="9" t="s">
        <v>1991</v>
      </c>
      <c r="D737" s="9" t="s">
        <v>252</v>
      </c>
      <c r="E737" s="9" t="s">
        <v>1992</v>
      </c>
      <c r="F737" s="9" t="s">
        <v>151</v>
      </c>
      <c r="G737" s="54">
        <v>72000</v>
      </c>
      <c r="H737" s="54">
        <f>6480+6480</f>
        <v>12960</v>
      </c>
      <c r="I737" s="54">
        <f t="shared" si="24"/>
        <v>84960</v>
      </c>
      <c r="J737" s="54" t="e">
        <f>+#REF!+#REF!+#REF!+#REF!</f>
        <v>#REF!</v>
      </c>
      <c r="K737" s="8"/>
    </row>
    <row r="738" spans="1:11" s="1" customFormat="1" ht="73.5" customHeight="1" x14ac:dyDescent="0.2">
      <c r="A738" s="7">
        <v>195</v>
      </c>
      <c r="B738" s="38">
        <v>45213</v>
      </c>
      <c r="C738" s="9" t="s">
        <v>2034</v>
      </c>
      <c r="D738" s="9" t="s">
        <v>252</v>
      </c>
      <c r="E738" s="9" t="s">
        <v>2035</v>
      </c>
      <c r="F738" s="9" t="s">
        <v>151</v>
      </c>
      <c r="G738" s="54">
        <v>48080</v>
      </c>
      <c r="H738" s="54">
        <f>4327+4327</f>
        <v>8654</v>
      </c>
      <c r="I738" s="54">
        <f t="shared" si="24"/>
        <v>56734</v>
      </c>
      <c r="J738" s="54" t="e">
        <f>+#REF!+#REF!+#REF!+#REF!</f>
        <v>#REF!</v>
      </c>
      <c r="K738" s="8"/>
    </row>
    <row r="739" spans="1:11" s="1" customFormat="1" ht="73.5" customHeight="1" x14ac:dyDescent="0.2">
      <c r="A739" s="7">
        <v>196</v>
      </c>
      <c r="B739" s="38">
        <v>45222</v>
      </c>
      <c r="C739" s="9">
        <v>663</v>
      </c>
      <c r="D739" s="9" t="s">
        <v>252</v>
      </c>
      <c r="E739" s="9" t="s">
        <v>2036</v>
      </c>
      <c r="F739" s="9" t="s">
        <v>254</v>
      </c>
      <c r="G739" s="54">
        <v>35600</v>
      </c>
      <c r="H739" s="54">
        <f>3204+3204</f>
        <v>6408</v>
      </c>
      <c r="I739" s="54">
        <f t="shared" si="24"/>
        <v>42008</v>
      </c>
      <c r="J739" s="54" t="e">
        <f>+#REF!+#REF!+#REF!+#REF!</f>
        <v>#REF!</v>
      </c>
      <c r="K739" s="8">
        <v>45259</v>
      </c>
    </row>
    <row r="740" spans="1:11" s="1" customFormat="1" ht="73.5" customHeight="1" x14ac:dyDescent="0.2">
      <c r="A740" s="7">
        <v>197</v>
      </c>
      <c r="B740" s="38">
        <v>45281</v>
      </c>
      <c r="C740" s="9" t="s">
        <v>2087</v>
      </c>
      <c r="D740" s="9" t="s">
        <v>252</v>
      </c>
      <c r="E740" s="9" t="s">
        <v>2088</v>
      </c>
      <c r="F740" s="9" t="s">
        <v>2089</v>
      </c>
      <c r="G740" s="54">
        <v>17543.28</v>
      </c>
      <c r="H740" s="54">
        <f>1579+1579</f>
        <v>3158</v>
      </c>
      <c r="I740" s="54">
        <f t="shared" si="24"/>
        <v>20701.28</v>
      </c>
      <c r="J740" s="54"/>
      <c r="K740" s="8"/>
    </row>
    <row r="741" spans="1:11" s="21" customFormat="1" ht="15.75" x14ac:dyDescent="0.25">
      <c r="A741" s="18"/>
      <c r="B741" s="19"/>
      <c r="C741" s="20"/>
      <c r="D741" s="20"/>
      <c r="E741" s="20"/>
      <c r="F741" s="27" t="s">
        <v>593</v>
      </c>
      <c r="G741" s="24">
        <f t="shared" ref="G741:I741" si="25">SUM(G545:G740)</f>
        <v>25743948.640000004</v>
      </c>
      <c r="H741" s="24">
        <f t="shared" si="25"/>
        <v>4441131</v>
      </c>
      <c r="I741" s="24">
        <f t="shared" si="25"/>
        <v>30185079.640000004</v>
      </c>
      <c r="J741" s="58" t="e">
        <f>+#REF!+#REF!+#REF!+#REF!</f>
        <v>#REF!</v>
      </c>
      <c r="K741" s="8"/>
    </row>
    <row r="742" spans="1:11" s="42" customFormat="1" ht="18" x14ac:dyDescent="0.25">
      <c r="A742" s="13"/>
      <c r="B742" s="40"/>
      <c r="C742" s="41"/>
      <c r="D742" s="41"/>
      <c r="E742" s="32" t="s">
        <v>549</v>
      </c>
      <c r="F742" s="41"/>
      <c r="G742" s="14"/>
      <c r="H742" s="14"/>
      <c r="I742" s="14"/>
      <c r="J742" s="58" t="e">
        <f>+#REF!+#REF!+#REF!+#REF!</f>
        <v>#REF!</v>
      </c>
      <c r="K742" s="8"/>
    </row>
    <row r="743" spans="1:11" s="1" customFormat="1" ht="105" x14ac:dyDescent="0.2">
      <c r="A743" s="7">
        <v>1</v>
      </c>
      <c r="B743" s="38">
        <v>44755</v>
      </c>
      <c r="C743" s="9" t="s">
        <v>87</v>
      </c>
      <c r="D743" s="9" t="s">
        <v>549</v>
      </c>
      <c r="E743" s="9" t="s">
        <v>88</v>
      </c>
      <c r="F743" s="9" t="s">
        <v>89</v>
      </c>
      <c r="G743" s="54">
        <v>1403000</v>
      </c>
      <c r="H743" s="54">
        <f>126270*2</f>
        <v>252540</v>
      </c>
      <c r="I743" s="54">
        <f>+G743+H743</f>
        <v>1655540</v>
      </c>
      <c r="J743" s="58" t="e">
        <f>+#REF!+#REF!+#REF!+#REF!</f>
        <v>#REF!</v>
      </c>
      <c r="K743" s="8" t="s">
        <v>2023</v>
      </c>
    </row>
    <row r="744" spans="1:11" s="1" customFormat="1" ht="30" x14ac:dyDescent="0.2">
      <c r="A744" s="7">
        <v>2</v>
      </c>
      <c r="B744" s="38">
        <v>44579</v>
      </c>
      <c r="C744" s="9"/>
      <c r="D744" s="9" t="s">
        <v>549</v>
      </c>
      <c r="E744" s="9" t="s">
        <v>564</v>
      </c>
      <c r="F744" s="9" t="s">
        <v>565</v>
      </c>
      <c r="G744" s="54">
        <v>6300</v>
      </c>
      <c r="H744" s="54">
        <v>0</v>
      </c>
      <c r="I744" s="54">
        <f>+G744+H744</f>
        <v>6300</v>
      </c>
      <c r="J744" s="58" t="e">
        <f>+#REF!+#REF!+#REF!+#REF!</f>
        <v>#REF!</v>
      </c>
      <c r="K744" s="38">
        <v>44579</v>
      </c>
    </row>
    <row r="745" spans="1:11" s="1" customFormat="1" ht="45" x14ac:dyDescent="0.2">
      <c r="A745" s="7">
        <v>3</v>
      </c>
      <c r="B745" s="38">
        <v>44834</v>
      </c>
      <c r="C745" s="9" t="s">
        <v>635</v>
      </c>
      <c r="D745" s="9" t="s">
        <v>549</v>
      </c>
      <c r="E745" s="9" t="s">
        <v>344</v>
      </c>
      <c r="F745" s="9" t="s">
        <v>70</v>
      </c>
      <c r="G745" s="54">
        <v>7400</v>
      </c>
      <c r="H745" s="54">
        <v>0</v>
      </c>
      <c r="I745" s="54">
        <f>+G745+H745</f>
        <v>7400</v>
      </c>
      <c r="J745" s="58" t="e">
        <f>+#REF!+#REF!+#REF!+#REF!</f>
        <v>#REF!</v>
      </c>
      <c r="K745" s="38">
        <v>44834</v>
      </c>
    </row>
    <row r="746" spans="1:11" s="1" customFormat="1" ht="30" x14ac:dyDescent="0.2">
      <c r="A746" s="7">
        <v>4</v>
      </c>
      <c r="B746" s="38">
        <v>44492</v>
      </c>
      <c r="C746" s="9"/>
      <c r="D746" s="9" t="s">
        <v>549</v>
      </c>
      <c r="E746" s="9" t="s">
        <v>355</v>
      </c>
      <c r="F746" s="9" t="s">
        <v>603</v>
      </c>
      <c r="G746" s="54">
        <v>3100</v>
      </c>
      <c r="H746" s="54">
        <v>0</v>
      </c>
      <c r="I746" s="54">
        <f>+G746+H746</f>
        <v>3100</v>
      </c>
      <c r="J746" s="58" t="e">
        <f>+#REF!+#REF!+#REF!+#REF!</f>
        <v>#REF!</v>
      </c>
      <c r="K746" s="8">
        <v>44492</v>
      </c>
    </row>
    <row r="747" spans="1:11" s="1" customFormat="1" ht="30" x14ac:dyDescent="0.2">
      <c r="A747" s="7">
        <v>5</v>
      </c>
      <c r="B747" s="38">
        <v>44920</v>
      </c>
      <c r="C747" s="9">
        <v>27</v>
      </c>
      <c r="D747" s="9" t="s">
        <v>549</v>
      </c>
      <c r="E747" s="9" t="s">
        <v>1007</v>
      </c>
      <c r="F747" s="9" t="s">
        <v>1008</v>
      </c>
      <c r="G747" s="54">
        <v>6000</v>
      </c>
      <c r="H747" s="54">
        <v>0</v>
      </c>
      <c r="I747" s="54">
        <f>+G747+H747</f>
        <v>6000</v>
      </c>
      <c r="J747" s="58" t="e">
        <f>+#REF!+#REF!+#REF!+#REF!</f>
        <v>#REF!</v>
      </c>
      <c r="K747" s="38">
        <v>44920</v>
      </c>
    </row>
    <row r="748" spans="1:11" s="28" customFormat="1" ht="15.75" x14ac:dyDescent="0.25">
      <c r="A748" s="25"/>
      <c r="B748" s="26"/>
      <c r="C748" s="27"/>
      <c r="D748" s="27"/>
      <c r="E748" s="27"/>
      <c r="F748" s="27" t="s">
        <v>593</v>
      </c>
      <c r="G748" s="24">
        <f t="shared" ref="G748:I748" si="26">SUM(G743:G747)</f>
        <v>1425800</v>
      </c>
      <c r="H748" s="24">
        <f t="shared" si="26"/>
        <v>252540</v>
      </c>
      <c r="I748" s="24">
        <f t="shared" si="26"/>
        <v>1678340</v>
      </c>
      <c r="J748" s="58" t="e">
        <f>+#REF!+#REF!+#REF!+#REF!</f>
        <v>#REF!</v>
      </c>
      <c r="K748" s="8"/>
    </row>
    <row r="749" spans="1:11" s="1" customFormat="1" ht="15.75" x14ac:dyDescent="0.25">
      <c r="A749" s="7"/>
      <c r="B749" s="8"/>
      <c r="C749" s="9"/>
      <c r="D749" s="9"/>
      <c r="E749" s="30" t="s">
        <v>290</v>
      </c>
      <c r="F749" s="12"/>
      <c r="G749" s="14"/>
      <c r="H749" s="14"/>
      <c r="I749" s="14"/>
      <c r="J749" s="58" t="e">
        <f>+#REF!+#REF!+#REF!+#REF!</f>
        <v>#REF!</v>
      </c>
      <c r="K749" s="8"/>
    </row>
    <row r="750" spans="1:11" s="1" customFormat="1" ht="30" x14ac:dyDescent="0.2">
      <c r="A750" s="7">
        <v>1</v>
      </c>
      <c r="B750" s="38">
        <v>44561</v>
      </c>
      <c r="C750" s="9" t="s">
        <v>1244</v>
      </c>
      <c r="D750" s="9" t="s">
        <v>290</v>
      </c>
      <c r="E750" s="9" t="s">
        <v>1245</v>
      </c>
      <c r="F750" s="9" t="s">
        <v>665</v>
      </c>
      <c r="G750" s="54">
        <v>38160.06</v>
      </c>
      <c r="H750" s="54">
        <v>0</v>
      </c>
      <c r="I750" s="54">
        <f t="shared" ref="I750:I751" si="27">+G750+H750</f>
        <v>38160.06</v>
      </c>
      <c r="J750" s="58" t="e">
        <f>+#REF!+#REF!+#REF!+#REF!+0.94</f>
        <v>#REF!</v>
      </c>
      <c r="K750" s="8">
        <v>44566</v>
      </c>
    </row>
    <row r="751" spans="1:11" s="1" customFormat="1" ht="30" x14ac:dyDescent="0.2">
      <c r="A751" s="7">
        <v>2</v>
      </c>
      <c r="B751" s="38">
        <v>44561</v>
      </c>
      <c r="C751" s="9"/>
      <c r="D751" s="9" t="s">
        <v>290</v>
      </c>
      <c r="E751" s="9" t="s">
        <v>2162</v>
      </c>
      <c r="F751" s="9" t="s">
        <v>665</v>
      </c>
      <c r="G751" s="54">
        <v>6868</v>
      </c>
      <c r="H751" s="54">
        <v>0</v>
      </c>
      <c r="I751" s="54">
        <f t="shared" si="27"/>
        <v>6868</v>
      </c>
      <c r="J751" s="58" t="e">
        <f>+#REF!+#REF!+#REF!+#REF!+0.94</f>
        <v>#REF!</v>
      </c>
      <c r="K751" s="8"/>
    </row>
    <row r="752" spans="1:11" s="1" customFormat="1" ht="45" x14ac:dyDescent="0.2">
      <c r="A752" s="7">
        <v>3</v>
      </c>
      <c r="B752" s="38">
        <v>44731</v>
      </c>
      <c r="C752" s="9" t="s">
        <v>635</v>
      </c>
      <c r="D752" s="9" t="s">
        <v>290</v>
      </c>
      <c r="E752" s="9" t="s">
        <v>926</v>
      </c>
      <c r="F752" s="9" t="s">
        <v>925</v>
      </c>
      <c r="G752" s="54">
        <v>3500</v>
      </c>
      <c r="H752" s="54">
        <v>0</v>
      </c>
      <c r="I752" s="54">
        <f t="shared" ref="I752:I786" si="28">+G752+H752</f>
        <v>3500</v>
      </c>
      <c r="J752" s="58" t="e">
        <f>+#REF!+#REF!+#REF!+#REF!</f>
        <v>#REF!</v>
      </c>
      <c r="K752" s="8">
        <v>44731</v>
      </c>
    </row>
    <row r="753" spans="1:11" s="1" customFormat="1" ht="30" x14ac:dyDescent="0.2">
      <c r="A753" s="7">
        <v>4</v>
      </c>
      <c r="B753" s="38">
        <v>44778</v>
      </c>
      <c r="C753" s="9" t="s">
        <v>734</v>
      </c>
      <c r="D753" s="9" t="s">
        <v>290</v>
      </c>
      <c r="E753" s="9" t="s">
        <v>735</v>
      </c>
      <c r="F753" s="9" t="s">
        <v>39</v>
      </c>
      <c r="G753" s="54">
        <f>203500</f>
        <v>203500</v>
      </c>
      <c r="H753" s="54">
        <v>0</v>
      </c>
      <c r="I753" s="54">
        <f t="shared" si="28"/>
        <v>203500</v>
      </c>
      <c r="J753" s="58" t="e">
        <f>+#REF!+#REF!+#REF!+#REF!</f>
        <v>#REF!</v>
      </c>
      <c r="K753" s="8">
        <v>44809</v>
      </c>
    </row>
    <row r="754" spans="1:11" s="1" customFormat="1" ht="45" x14ac:dyDescent="0.2">
      <c r="A754" s="7">
        <v>5</v>
      </c>
      <c r="B754" s="38">
        <v>44852</v>
      </c>
      <c r="C754" s="9" t="s">
        <v>737</v>
      </c>
      <c r="D754" s="9" t="s">
        <v>290</v>
      </c>
      <c r="E754" s="9" t="s">
        <v>738</v>
      </c>
      <c r="F754" s="9" t="s">
        <v>206</v>
      </c>
      <c r="G754" s="54">
        <f>13264+1194+1194</f>
        <v>15652</v>
      </c>
      <c r="H754" s="54"/>
      <c r="I754" s="54">
        <f t="shared" si="28"/>
        <v>15652</v>
      </c>
      <c r="J754" s="58" t="e">
        <f>+#REF!+#REF!+#REF!+#REF!</f>
        <v>#REF!</v>
      </c>
      <c r="K754" s="8">
        <v>44881</v>
      </c>
    </row>
    <row r="755" spans="1:11" s="1" customFormat="1" ht="45" x14ac:dyDescent="0.2">
      <c r="A755" s="7">
        <v>6</v>
      </c>
      <c r="B755" s="38">
        <v>44854</v>
      </c>
      <c r="C755" s="9" t="s">
        <v>541</v>
      </c>
      <c r="D755" s="9" t="s">
        <v>290</v>
      </c>
      <c r="E755" s="9" t="s">
        <v>739</v>
      </c>
      <c r="F755" s="9" t="s">
        <v>39</v>
      </c>
      <c r="G755" s="54">
        <f>88724+7985+7985</f>
        <v>104694</v>
      </c>
      <c r="H755" s="54">
        <v>0</v>
      </c>
      <c r="I755" s="54">
        <f t="shared" si="28"/>
        <v>104694</v>
      </c>
      <c r="J755" s="58" t="e">
        <f>+#REF!+#REF!+#REF!+#REF!</f>
        <v>#REF!</v>
      </c>
      <c r="K755" s="8">
        <v>44881</v>
      </c>
    </row>
    <row r="756" spans="1:11" s="1" customFormat="1" ht="30" x14ac:dyDescent="0.2">
      <c r="A756" s="7">
        <v>7</v>
      </c>
      <c r="B756" s="38">
        <v>44854</v>
      </c>
      <c r="C756" s="9" t="s">
        <v>740</v>
      </c>
      <c r="D756" s="9" t="s">
        <v>290</v>
      </c>
      <c r="E756" s="9" t="s">
        <v>741</v>
      </c>
      <c r="F756" s="9" t="s">
        <v>732</v>
      </c>
      <c r="G756" s="54">
        <f>182785.5+16451+16451</f>
        <v>215687.5</v>
      </c>
      <c r="H756" s="54">
        <v>0</v>
      </c>
      <c r="I756" s="54">
        <f t="shared" si="28"/>
        <v>215687.5</v>
      </c>
      <c r="J756" s="58" t="e">
        <f>+#REF!+#REF!+#REF!+#REF!-0.5</f>
        <v>#REF!</v>
      </c>
      <c r="K756" s="8">
        <v>44882</v>
      </c>
    </row>
    <row r="757" spans="1:11" s="1" customFormat="1" ht="60" x14ac:dyDescent="0.2">
      <c r="A757" s="7">
        <v>8</v>
      </c>
      <c r="B757" s="38">
        <v>44891</v>
      </c>
      <c r="C757" s="9" t="s">
        <v>526</v>
      </c>
      <c r="D757" s="9" t="s">
        <v>290</v>
      </c>
      <c r="E757" s="9" t="s">
        <v>527</v>
      </c>
      <c r="F757" s="9" t="s">
        <v>46</v>
      </c>
      <c r="G757" s="54">
        <f>3013332+271200+271200</f>
        <v>3555732</v>
      </c>
      <c r="H757" s="54">
        <v>0</v>
      </c>
      <c r="I757" s="54">
        <f t="shared" si="28"/>
        <v>3555732</v>
      </c>
      <c r="J757" s="58" t="e">
        <f>+#REF!+#REF!+#REF!+#REF!</f>
        <v>#REF!</v>
      </c>
      <c r="K757" s="8" t="s">
        <v>1931</v>
      </c>
    </row>
    <row r="758" spans="1:11" s="1" customFormat="1" ht="75" x14ac:dyDescent="0.2">
      <c r="A758" s="7">
        <v>9</v>
      </c>
      <c r="B758" s="38">
        <v>44951</v>
      </c>
      <c r="C758" s="9"/>
      <c r="D758" s="9" t="s">
        <v>290</v>
      </c>
      <c r="E758" s="9" t="s">
        <v>833</v>
      </c>
      <c r="F758" s="9" t="s">
        <v>834</v>
      </c>
      <c r="G758" s="54">
        <v>60000</v>
      </c>
      <c r="H758" s="54">
        <v>0</v>
      </c>
      <c r="I758" s="54">
        <f t="shared" si="28"/>
        <v>60000</v>
      </c>
      <c r="J758" s="58" t="e">
        <f>+#REF!+#REF!+#REF!+#REF!</f>
        <v>#REF!</v>
      </c>
      <c r="K758" s="8">
        <v>44951</v>
      </c>
    </row>
    <row r="759" spans="1:11" s="1" customFormat="1" ht="60" x14ac:dyDescent="0.2">
      <c r="A759" s="7">
        <v>10</v>
      </c>
      <c r="B759" s="38">
        <v>44930</v>
      </c>
      <c r="C759" s="9"/>
      <c r="D759" s="9" t="s">
        <v>290</v>
      </c>
      <c r="E759" s="9" t="s">
        <v>869</v>
      </c>
      <c r="F759" s="9" t="s">
        <v>665</v>
      </c>
      <c r="G759" s="54">
        <f>5847.15+1386</f>
        <v>7233.15</v>
      </c>
      <c r="H759" s="54">
        <v>0</v>
      </c>
      <c r="I759" s="54">
        <f t="shared" si="28"/>
        <v>7233.15</v>
      </c>
      <c r="J759" s="58" t="e">
        <f>+#REF!+#REF!+#REF!+#REF!-0.15</f>
        <v>#REF!</v>
      </c>
      <c r="K759" s="8">
        <v>44980</v>
      </c>
    </row>
    <row r="760" spans="1:11" s="1" customFormat="1" ht="30" x14ac:dyDescent="0.2">
      <c r="A760" s="7">
        <v>11</v>
      </c>
      <c r="B760" s="38">
        <v>44957</v>
      </c>
      <c r="C760" s="9" t="s">
        <v>635</v>
      </c>
      <c r="D760" s="9" t="s">
        <v>290</v>
      </c>
      <c r="E760" s="9" t="s">
        <v>1140</v>
      </c>
      <c r="F760" s="9" t="s">
        <v>295</v>
      </c>
      <c r="G760" s="54">
        <v>28600</v>
      </c>
      <c r="H760" s="54">
        <v>0</v>
      </c>
      <c r="I760" s="54">
        <f t="shared" si="28"/>
        <v>28600</v>
      </c>
      <c r="J760" s="58" t="e">
        <f>+#REF!+#REF!+#REF!+#REF!</f>
        <v>#REF!</v>
      </c>
      <c r="K760" s="8" t="s">
        <v>1951</v>
      </c>
    </row>
    <row r="761" spans="1:11" s="1" customFormat="1" ht="30" x14ac:dyDescent="0.2">
      <c r="A761" s="7">
        <v>12</v>
      </c>
      <c r="B761" s="38">
        <v>44960</v>
      </c>
      <c r="C761" s="9" t="s">
        <v>881</v>
      </c>
      <c r="D761" s="9" t="s">
        <v>290</v>
      </c>
      <c r="E761" s="9" t="s">
        <v>882</v>
      </c>
      <c r="F761" s="9" t="s">
        <v>665</v>
      </c>
      <c r="G761" s="54">
        <f>73355.34+13204</f>
        <v>86559.34</v>
      </c>
      <c r="H761" s="54">
        <v>0</v>
      </c>
      <c r="I761" s="54">
        <f t="shared" si="28"/>
        <v>86559.34</v>
      </c>
      <c r="J761" s="58" t="e">
        <f>+#REF!+#REF!+#REF!+#REF!-0.34</f>
        <v>#REF!</v>
      </c>
      <c r="K761" s="8">
        <v>44965</v>
      </c>
    </row>
    <row r="762" spans="1:11" s="1" customFormat="1" ht="45" x14ac:dyDescent="0.2">
      <c r="A762" s="7">
        <v>13</v>
      </c>
      <c r="B762" s="38">
        <v>44961</v>
      </c>
      <c r="C762" s="9" t="s">
        <v>1010</v>
      </c>
      <c r="D762" s="9" t="s">
        <v>290</v>
      </c>
      <c r="E762" s="9" t="s">
        <v>1011</v>
      </c>
      <c r="F762" s="9" t="s">
        <v>665</v>
      </c>
      <c r="G762" s="54">
        <f>17897.48+4510</f>
        <v>22407.48</v>
      </c>
      <c r="H762" s="54">
        <v>0</v>
      </c>
      <c r="I762" s="54">
        <f t="shared" si="28"/>
        <v>22407.48</v>
      </c>
      <c r="J762" s="58" t="e">
        <f>+#REF!+#REF!+#REF!+#REF!+0.52</f>
        <v>#REF!</v>
      </c>
      <c r="K762" s="8">
        <v>45008</v>
      </c>
    </row>
    <row r="763" spans="1:11" s="1" customFormat="1" ht="45" x14ac:dyDescent="0.2">
      <c r="A763" s="7">
        <v>14</v>
      </c>
      <c r="B763" s="38">
        <v>44970</v>
      </c>
      <c r="C763" s="9" t="s">
        <v>889</v>
      </c>
      <c r="D763" s="9" t="s">
        <v>290</v>
      </c>
      <c r="E763" s="9" t="s">
        <v>890</v>
      </c>
      <c r="F763" s="9" t="s">
        <v>43</v>
      </c>
      <c r="G763" s="54">
        <f>12832.06+1155+1155</f>
        <v>15142.06</v>
      </c>
      <c r="H763" s="54">
        <v>0</v>
      </c>
      <c r="I763" s="54">
        <f t="shared" si="28"/>
        <v>15142.06</v>
      </c>
      <c r="J763" s="58" t="e">
        <f>+#REF!+#REF!+#REF!+#REF!-0.06</f>
        <v>#REF!</v>
      </c>
      <c r="K763" s="8">
        <v>45008</v>
      </c>
    </row>
    <row r="764" spans="1:11" s="1" customFormat="1" ht="45" x14ac:dyDescent="0.2">
      <c r="A764" s="7">
        <v>15</v>
      </c>
      <c r="B764" s="38">
        <v>44985</v>
      </c>
      <c r="C764" s="9" t="s">
        <v>1012</v>
      </c>
      <c r="D764" s="9" t="s">
        <v>290</v>
      </c>
      <c r="E764" s="9" t="s">
        <v>1013</v>
      </c>
      <c r="F764" s="9" t="s">
        <v>665</v>
      </c>
      <c r="G764" s="54">
        <f>50771.68+9138</f>
        <v>59909.68</v>
      </c>
      <c r="H764" s="54">
        <v>0</v>
      </c>
      <c r="I764" s="54">
        <f t="shared" si="28"/>
        <v>59909.68</v>
      </c>
      <c r="J764" s="58" t="e">
        <f>+#REF!+#REF!+#REF!+#REF!+1.32</f>
        <v>#REF!</v>
      </c>
      <c r="K764" s="8">
        <v>44989</v>
      </c>
    </row>
    <row r="765" spans="1:11" s="1" customFormat="1" ht="30" x14ac:dyDescent="0.2">
      <c r="A765" s="7">
        <v>16</v>
      </c>
      <c r="B765" s="38">
        <v>44985</v>
      </c>
      <c r="C765" s="9"/>
      <c r="D765" s="9" t="s">
        <v>290</v>
      </c>
      <c r="E765" s="9" t="s">
        <v>1699</v>
      </c>
      <c r="F765" s="9" t="s">
        <v>1700</v>
      </c>
      <c r="G765" s="54">
        <v>600</v>
      </c>
      <c r="H765" s="54">
        <v>0</v>
      </c>
      <c r="I765" s="54">
        <f t="shared" si="28"/>
        <v>600</v>
      </c>
      <c r="J765" s="58" t="e">
        <f>+#REF!+#REF!+#REF!+#REF!</f>
        <v>#REF!</v>
      </c>
      <c r="K765" s="8">
        <v>44985</v>
      </c>
    </row>
    <row r="766" spans="1:11" s="1" customFormat="1" ht="30" x14ac:dyDescent="0.2">
      <c r="A766" s="7">
        <v>17</v>
      </c>
      <c r="B766" s="38">
        <v>44990</v>
      </c>
      <c r="C766" s="9" t="s">
        <v>1033</v>
      </c>
      <c r="D766" s="9" t="s">
        <v>290</v>
      </c>
      <c r="E766" s="9" t="s">
        <v>1034</v>
      </c>
      <c r="F766" s="9" t="s">
        <v>46</v>
      </c>
      <c r="G766" s="54">
        <f>868158+78134+78134</f>
        <v>1024426</v>
      </c>
      <c r="H766" s="54">
        <v>0</v>
      </c>
      <c r="I766" s="54">
        <f t="shared" si="28"/>
        <v>1024426</v>
      </c>
      <c r="J766" s="58" t="e">
        <f>+#REF!+#REF!+#REF!+#REF!</f>
        <v>#REF!</v>
      </c>
      <c r="K766" s="8">
        <v>44972</v>
      </c>
    </row>
    <row r="767" spans="1:11" s="1" customFormat="1" ht="30" x14ac:dyDescent="0.2">
      <c r="A767" s="7">
        <v>18</v>
      </c>
      <c r="B767" s="38">
        <v>45012</v>
      </c>
      <c r="C767" s="9" t="s">
        <v>1112</v>
      </c>
      <c r="D767" s="9" t="s">
        <v>290</v>
      </c>
      <c r="E767" s="9" t="s">
        <v>1113</v>
      </c>
      <c r="F767" s="9" t="s">
        <v>46</v>
      </c>
      <c r="G767" s="54">
        <f>742979+66868+66868</f>
        <v>876715</v>
      </c>
      <c r="H767" s="54">
        <v>0</v>
      </c>
      <c r="I767" s="54">
        <f t="shared" si="28"/>
        <v>876715</v>
      </c>
      <c r="J767" s="58" t="e">
        <f>+#REF!+#REF!+#REF!+#REF!-1</f>
        <v>#REF!</v>
      </c>
      <c r="K767" s="8">
        <v>45028</v>
      </c>
    </row>
    <row r="768" spans="1:11" s="1" customFormat="1" ht="45" x14ac:dyDescent="0.2">
      <c r="A768" s="7">
        <v>19</v>
      </c>
      <c r="B768" s="38">
        <v>45040</v>
      </c>
      <c r="C768" s="9">
        <v>872</v>
      </c>
      <c r="D768" s="9" t="s">
        <v>290</v>
      </c>
      <c r="E768" s="9" t="s">
        <v>1414</v>
      </c>
      <c r="F768" s="9" t="s">
        <v>295</v>
      </c>
      <c r="G768" s="54">
        <v>12800</v>
      </c>
      <c r="H768" s="54">
        <v>0</v>
      </c>
      <c r="I768" s="54">
        <f t="shared" si="28"/>
        <v>12800</v>
      </c>
      <c r="J768" s="58" t="e">
        <f>+#REF!+#REF!+#REF!+#REF!</f>
        <v>#REF!</v>
      </c>
      <c r="K768" s="8" t="s">
        <v>1952</v>
      </c>
    </row>
    <row r="769" spans="1:11" s="1" customFormat="1" ht="30" x14ac:dyDescent="0.2">
      <c r="A769" s="7">
        <v>20</v>
      </c>
      <c r="B769" s="38">
        <v>45042</v>
      </c>
      <c r="C769" s="9" t="s">
        <v>1415</v>
      </c>
      <c r="D769" s="9" t="s">
        <v>290</v>
      </c>
      <c r="E769" s="9" t="s">
        <v>1416</v>
      </c>
      <c r="F769" s="9" t="s">
        <v>43</v>
      </c>
      <c r="G769" s="54">
        <v>3728.8</v>
      </c>
      <c r="H769" s="54">
        <v>0</v>
      </c>
      <c r="I769" s="54">
        <f t="shared" si="28"/>
        <v>3728.8</v>
      </c>
      <c r="J769" s="58" t="e">
        <f>+#REF!+#REF!+#REF!+#REF!-0.8</f>
        <v>#REF!</v>
      </c>
      <c r="K769" s="8">
        <v>45076</v>
      </c>
    </row>
    <row r="770" spans="1:11" s="1" customFormat="1" ht="30" x14ac:dyDescent="0.2">
      <c r="A770" s="7">
        <v>21</v>
      </c>
      <c r="B770" s="38">
        <v>45042</v>
      </c>
      <c r="C770" s="9" t="s">
        <v>1415</v>
      </c>
      <c r="D770" s="9" t="s">
        <v>290</v>
      </c>
      <c r="E770" s="9" t="s">
        <v>1497</v>
      </c>
      <c r="F770" s="9" t="s">
        <v>43</v>
      </c>
      <c r="G770" s="54">
        <f>336+336</f>
        <v>672</v>
      </c>
      <c r="H770" s="54">
        <v>0</v>
      </c>
      <c r="I770" s="54">
        <f t="shared" si="28"/>
        <v>672</v>
      </c>
      <c r="J770" s="58" t="e">
        <f>+#REF!+#REF!+#REF!+#REF!</f>
        <v>#REF!</v>
      </c>
      <c r="K770" s="8">
        <v>45076</v>
      </c>
    </row>
    <row r="771" spans="1:11" s="1" customFormat="1" ht="15" x14ac:dyDescent="0.2">
      <c r="A771" s="7">
        <v>22</v>
      </c>
      <c r="B771" s="38">
        <v>45045</v>
      </c>
      <c r="C771" s="9" t="s">
        <v>635</v>
      </c>
      <c r="D771" s="9" t="s">
        <v>290</v>
      </c>
      <c r="E771" s="9" t="s">
        <v>1417</v>
      </c>
      <c r="F771" s="9" t="s">
        <v>1418</v>
      </c>
      <c r="G771" s="54">
        <v>5000</v>
      </c>
      <c r="H771" s="54">
        <v>0</v>
      </c>
      <c r="I771" s="54">
        <f t="shared" si="28"/>
        <v>5000</v>
      </c>
      <c r="J771" s="58" t="e">
        <f>+#REF!+#REF!+#REF!+#REF!</f>
        <v>#REF!</v>
      </c>
      <c r="K771" s="38">
        <v>45045</v>
      </c>
    </row>
    <row r="772" spans="1:11" s="1" customFormat="1" ht="60" x14ac:dyDescent="0.2">
      <c r="A772" s="7">
        <v>23</v>
      </c>
      <c r="B772" s="38">
        <v>45045</v>
      </c>
      <c r="C772" s="9">
        <v>65</v>
      </c>
      <c r="D772" s="9" t="s">
        <v>290</v>
      </c>
      <c r="E772" s="9" t="s">
        <v>1419</v>
      </c>
      <c r="F772" s="9" t="s">
        <v>736</v>
      </c>
      <c r="G772" s="54">
        <v>58898</v>
      </c>
      <c r="H772" s="54">
        <v>0</v>
      </c>
      <c r="I772" s="54">
        <f t="shared" si="28"/>
        <v>58898</v>
      </c>
      <c r="J772" s="58" t="e">
        <f>+#REF!+#REF!+#REF!+#REF!</f>
        <v>#REF!</v>
      </c>
      <c r="K772" s="8">
        <v>45050</v>
      </c>
    </row>
    <row r="773" spans="1:11" s="1" customFormat="1" ht="15" x14ac:dyDescent="0.2">
      <c r="A773" s="7">
        <v>24</v>
      </c>
      <c r="B773" s="38">
        <v>45045</v>
      </c>
      <c r="C773" s="9">
        <v>65</v>
      </c>
      <c r="D773" s="9" t="s">
        <v>290</v>
      </c>
      <c r="E773" s="9" t="s">
        <v>1497</v>
      </c>
      <c r="F773" s="9" t="s">
        <v>736</v>
      </c>
      <c r="G773" s="54">
        <f>5301+5301</f>
        <v>10602</v>
      </c>
      <c r="H773" s="54">
        <v>0</v>
      </c>
      <c r="I773" s="54">
        <f t="shared" si="28"/>
        <v>10602</v>
      </c>
      <c r="J773" s="58" t="e">
        <f>+#REF!+#REF!+#REF!+#REF!</f>
        <v>#REF!</v>
      </c>
      <c r="K773" s="8">
        <v>45050</v>
      </c>
    </row>
    <row r="774" spans="1:11" s="1" customFormat="1" ht="135" x14ac:dyDescent="0.2">
      <c r="A774" s="7">
        <v>25</v>
      </c>
      <c r="B774" s="38">
        <v>45045</v>
      </c>
      <c r="C774" s="9" t="s">
        <v>1420</v>
      </c>
      <c r="D774" s="9" t="s">
        <v>290</v>
      </c>
      <c r="E774" s="9" t="s">
        <v>1421</v>
      </c>
      <c r="F774" s="9" t="s">
        <v>206</v>
      </c>
      <c r="G774" s="54">
        <v>16180</v>
      </c>
      <c r="H774" s="54">
        <f>1456+1456</f>
        <v>2912</v>
      </c>
      <c r="I774" s="54">
        <f t="shared" si="28"/>
        <v>19092</v>
      </c>
      <c r="J774" s="58" t="e">
        <f>+#REF!+#REF!+#REF!+#REF!</f>
        <v>#REF!</v>
      </c>
      <c r="K774" s="8"/>
    </row>
    <row r="775" spans="1:11" s="1" customFormat="1" ht="30" x14ac:dyDescent="0.2">
      <c r="A775" s="7">
        <v>26</v>
      </c>
      <c r="B775" s="38">
        <v>45046</v>
      </c>
      <c r="C775" s="9" t="s">
        <v>1422</v>
      </c>
      <c r="D775" s="9" t="s">
        <v>290</v>
      </c>
      <c r="E775" s="9" t="s">
        <v>1416</v>
      </c>
      <c r="F775" s="9" t="s">
        <v>665</v>
      </c>
      <c r="G775" s="54">
        <v>1718.76</v>
      </c>
      <c r="H775" s="54"/>
      <c r="I775" s="54">
        <f t="shared" si="28"/>
        <v>1718.76</v>
      </c>
      <c r="J775" s="58" t="e">
        <f>+#REF!+#REF!+#REF!+#REF!-0.76</f>
        <v>#REF!</v>
      </c>
      <c r="K775" s="8">
        <v>45071</v>
      </c>
    </row>
    <row r="776" spans="1:11" s="1" customFormat="1" ht="30" x14ac:dyDescent="0.2">
      <c r="A776" s="7">
        <v>27</v>
      </c>
      <c r="B776" s="38">
        <v>45046</v>
      </c>
      <c r="C776" s="9" t="s">
        <v>1422</v>
      </c>
      <c r="D776" s="9" t="s">
        <v>290</v>
      </c>
      <c r="E776" s="9" t="s">
        <v>1497</v>
      </c>
      <c r="F776" s="9" t="s">
        <v>665</v>
      </c>
      <c r="G776" s="54">
        <f>241+241</f>
        <v>482</v>
      </c>
      <c r="H776" s="54">
        <v>0</v>
      </c>
      <c r="I776" s="54">
        <f t="shared" si="28"/>
        <v>482</v>
      </c>
      <c r="J776" s="58" t="e">
        <f>+#REF!+#REF!+#REF!+#REF!</f>
        <v>#REF!</v>
      </c>
      <c r="K776" s="8">
        <v>45071</v>
      </c>
    </row>
    <row r="777" spans="1:11" s="1" customFormat="1" ht="45" x14ac:dyDescent="0.2">
      <c r="A777" s="7">
        <v>28</v>
      </c>
      <c r="B777" s="38">
        <v>45051</v>
      </c>
      <c r="C777" s="9">
        <v>873</v>
      </c>
      <c r="D777" s="9" t="s">
        <v>290</v>
      </c>
      <c r="E777" s="9" t="s">
        <v>1426</v>
      </c>
      <c r="F777" s="9" t="s">
        <v>295</v>
      </c>
      <c r="G777" s="54">
        <v>21800</v>
      </c>
      <c r="H777" s="54">
        <v>0</v>
      </c>
      <c r="I777" s="54">
        <f t="shared" si="28"/>
        <v>21800</v>
      </c>
      <c r="J777" s="58" t="e">
        <f>+#REF!+#REF!+#REF!+#REF!</f>
        <v>#REF!</v>
      </c>
      <c r="K777" s="8" t="s">
        <v>1953</v>
      </c>
    </row>
    <row r="778" spans="1:11" s="1" customFormat="1" ht="45" x14ac:dyDescent="0.2">
      <c r="A778" s="7">
        <v>29</v>
      </c>
      <c r="B778" s="38">
        <v>45071</v>
      </c>
      <c r="C778" s="9">
        <v>875</v>
      </c>
      <c r="D778" s="9" t="s">
        <v>290</v>
      </c>
      <c r="E778" s="9" t="s">
        <v>1631</v>
      </c>
      <c r="F778" s="9" t="s">
        <v>295</v>
      </c>
      <c r="G778" s="54">
        <v>9000</v>
      </c>
      <c r="H778" s="54">
        <v>0</v>
      </c>
      <c r="I778" s="54">
        <f t="shared" si="28"/>
        <v>9000</v>
      </c>
      <c r="J778" s="58" t="e">
        <f>+#REF!+#REF!+#REF!+#REF!</f>
        <v>#REF!</v>
      </c>
      <c r="K778" s="8">
        <v>45070</v>
      </c>
    </row>
    <row r="779" spans="1:11" s="1" customFormat="1" ht="60" x14ac:dyDescent="0.2">
      <c r="A779" s="7">
        <v>30</v>
      </c>
      <c r="B779" s="38">
        <v>45072</v>
      </c>
      <c r="C779" s="9" t="s">
        <v>1632</v>
      </c>
      <c r="D779" s="9" t="s">
        <v>290</v>
      </c>
      <c r="E779" s="9" t="s">
        <v>1633</v>
      </c>
      <c r="F779" s="9" t="s">
        <v>665</v>
      </c>
      <c r="G779" s="54">
        <f>6729.14+942+942</f>
        <v>8613.14</v>
      </c>
      <c r="H779" s="54">
        <v>0</v>
      </c>
      <c r="I779" s="54">
        <f t="shared" si="28"/>
        <v>8613.14</v>
      </c>
      <c r="J779" s="58" t="e">
        <f>+#REF!+#REF!+#REF!+#REF!-0.14</f>
        <v>#REF!</v>
      </c>
      <c r="K779" s="8">
        <v>45136</v>
      </c>
    </row>
    <row r="780" spans="1:11" s="1" customFormat="1" ht="45" x14ac:dyDescent="0.2">
      <c r="A780" s="7">
        <v>31</v>
      </c>
      <c r="B780" s="38">
        <v>45077</v>
      </c>
      <c r="C780" s="9">
        <v>879</v>
      </c>
      <c r="D780" s="9" t="s">
        <v>290</v>
      </c>
      <c r="E780" s="9" t="s">
        <v>1634</v>
      </c>
      <c r="F780" s="9" t="s">
        <v>295</v>
      </c>
      <c r="G780" s="54">
        <v>7000</v>
      </c>
      <c r="H780" s="54">
        <v>0</v>
      </c>
      <c r="I780" s="54">
        <f t="shared" si="28"/>
        <v>7000</v>
      </c>
      <c r="J780" s="58" t="e">
        <f>+#REF!+#REF!+#REF!+#REF!</f>
        <v>#REF!</v>
      </c>
      <c r="K780" s="8">
        <v>45077</v>
      </c>
    </row>
    <row r="781" spans="1:11" s="1" customFormat="1" ht="45" x14ac:dyDescent="0.2">
      <c r="A781" s="7">
        <v>32</v>
      </c>
      <c r="B781" s="38">
        <v>45086</v>
      </c>
      <c r="C781" s="9">
        <v>898</v>
      </c>
      <c r="D781" s="9" t="s">
        <v>290</v>
      </c>
      <c r="E781" s="9" t="s">
        <v>1695</v>
      </c>
      <c r="F781" s="9" t="s">
        <v>295</v>
      </c>
      <c r="G781" s="54">
        <v>24800</v>
      </c>
      <c r="H781" s="54">
        <v>0</v>
      </c>
      <c r="I781" s="54">
        <f t="shared" si="28"/>
        <v>24800</v>
      </c>
      <c r="J781" s="58" t="e">
        <f>+#REF!+#REF!+#REF!+#REF!</f>
        <v>#REF!</v>
      </c>
      <c r="K781" s="8" t="s">
        <v>1954</v>
      </c>
    </row>
    <row r="782" spans="1:11" s="1" customFormat="1" ht="30" x14ac:dyDescent="0.2">
      <c r="A782" s="7">
        <v>33</v>
      </c>
      <c r="B782" s="38">
        <v>45203</v>
      </c>
      <c r="C782" s="9" t="s">
        <v>1980</v>
      </c>
      <c r="D782" s="9" t="s">
        <v>290</v>
      </c>
      <c r="E782" s="9" t="s">
        <v>1981</v>
      </c>
      <c r="F782" s="9" t="s">
        <v>39</v>
      </c>
      <c r="G782" s="54">
        <v>31180</v>
      </c>
      <c r="H782" s="54">
        <v>0</v>
      </c>
      <c r="I782" s="54">
        <f t="shared" si="28"/>
        <v>31180</v>
      </c>
      <c r="J782" s="58" t="e">
        <f>+#REF!+#REF!+#REF!+#REF!</f>
        <v>#REF!</v>
      </c>
      <c r="K782" s="8">
        <v>45205</v>
      </c>
    </row>
    <row r="783" spans="1:11" s="1" customFormat="1" ht="45" x14ac:dyDescent="0.2">
      <c r="A783" s="7">
        <v>34</v>
      </c>
      <c r="B783" s="38">
        <v>45204</v>
      </c>
      <c r="C783" s="9" t="s">
        <v>1982</v>
      </c>
      <c r="D783" s="9" t="s">
        <v>290</v>
      </c>
      <c r="E783" s="9" t="s">
        <v>1983</v>
      </c>
      <c r="F783" s="9" t="s">
        <v>39</v>
      </c>
      <c r="G783" s="54">
        <v>57010</v>
      </c>
      <c r="H783" s="54">
        <f>5131+5131</f>
        <v>10262</v>
      </c>
      <c r="I783" s="54">
        <f t="shared" si="28"/>
        <v>67272</v>
      </c>
      <c r="J783" s="58" t="e">
        <f>+#REF!+#REF!+#REF!+#REF!</f>
        <v>#REF!</v>
      </c>
      <c r="K783" s="8">
        <v>45259</v>
      </c>
    </row>
    <row r="784" spans="1:11" s="1" customFormat="1" ht="45" x14ac:dyDescent="0.2">
      <c r="A784" s="7">
        <v>35</v>
      </c>
      <c r="B784" s="38">
        <v>45212</v>
      </c>
      <c r="C784" s="9">
        <v>308</v>
      </c>
      <c r="D784" s="9" t="s">
        <v>290</v>
      </c>
      <c r="E784" s="9" t="s">
        <v>1984</v>
      </c>
      <c r="F784" s="9" t="s">
        <v>736</v>
      </c>
      <c r="G784" s="54">
        <v>66616</v>
      </c>
      <c r="H784" s="54">
        <v>0</v>
      </c>
      <c r="I784" s="54">
        <f t="shared" si="28"/>
        <v>66616</v>
      </c>
      <c r="J784" s="58" t="e">
        <f>+#REF!+#REF!+#REF!+#REF!+1</f>
        <v>#REF!</v>
      </c>
      <c r="K784" s="58" t="s">
        <v>2013</v>
      </c>
    </row>
    <row r="785" spans="1:11" s="1" customFormat="1" ht="45" x14ac:dyDescent="0.2">
      <c r="A785" s="7">
        <v>36</v>
      </c>
      <c r="B785" s="38">
        <v>45212</v>
      </c>
      <c r="C785" s="9"/>
      <c r="D785" s="9" t="s">
        <v>290</v>
      </c>
      <c r="E785" s="9" t="s">
        <v>2038</v>
      </c>
      <c r="F785" s="9" t="s">
        <v>1246</v>
      </c>
      <c r="G785" s="54">
        <v>17602</v>
      </c>
      <c r="H785" s="54">
        <v>0</v>
      </c>
      <c r="I785" s="54">
        <f t="shared" si="28"/>
        <v>17602</v>
      </c>
      <c r="J785" s="58" t="e">
        <f>+#REF!+#REF!+#REF!+#REF!+1</f>
        <v>#REF!</v>
      </c>
      <c r="K785" s="8" t="s">
        <v>2050</v>
      </c>
    </row>
    <row r="786" spans="1:11" s="1" customFormat="1" ht="60" x14ac:dyDescent="0.2">
      <c r="A786" s="7">
        <v>37</v>
      </c>
      <c r="B786" s="38">
        <v>45266</v>
      </c>
      <c r="C786" s="9">
        <v>781</v>
      </c>
      <c r="D786" s="9" t="s">
        <v>290</v>
      </c>
      <c r="E786" s="9" t="s">
        <v>2058</v>
      </c>
      <c r="F786" s="9" t="s">
        <v>295</v>
      </c>
      <c r="G786" s="54">
        <v>45100</v>
      </c>
      <c r="H786" s="54">
        <v>0</v>
      </c>
      <c r="I786" s="54">
        <f t="shared" si="28"/>
        <v>45100</v>
      </c>
      <c r="J786" s="58" t="e">
        <f>+#REF!+#REF!+#REF!+#REF!</f>
        <v>#REF!</v>
      </c>
      <c r="K786" s="8"/>
    </row>
    <row r="787" spans="1:11" s="28" customFormat="1" ht="15.75" x14ac:dyDescent="0.25">
      <c r="A787" s="25"/>
      <c r="B787" s="26"/>
      <c r="C787" s="27"/>
      <c r="D787" s="27"/>
      <c r="E787" s="27"/>
      <c r="F787" s="27" t="s">
        <v>593</v>
      </c>
      <c r="G787" s="24">
        <f t="shared" ref="G787:J787" si="29">SUM(G749:G786)</f>
        <v>6724188.9699999997</v>
      </c>
      <c r="H787" s="24">
        <f t="shared" si="29"/>
        <v>13174</v>
      </c>
      <c r="I787" s="24">
        <f t="shared" si="29"/>
        <v>6737362.9699999997</v>
      </c>
      <c r="J787" s="24" t="e">
        <f t="shared" si="29"/>
        <v>#REF!</v>
      </c>
      <c r="K787" s="8"/>
    </row>
    <row r="788" spans="1:11" s="1" customFormat="1" ht="36" x14ac:dyDescent="0.2">
      <c r="A788" s="7"/>
      <c r="B788" s="8"/>
      <c r="C788" s="9"/>
      <c r="D788" s="9"/>
      <c r="E788" s="48" t="s">
        <v>300</v>
      </c>
      <c r="F788" s="9"/>
      <c r="G788" s="10"/>
      <c r="H788" s="11"/>
      <c r="I788" s="11"/>
      <c r="J788" s="58" t="e">
        <f>+#REF!+#REF!+#REF!+#REF!</f>
        <v>#REF!</v>
      </c>
      <c r="K788" s="8"/>
    </row>
    <row r="789" spans="1:11" s="1" customFormat="1" ht="18" x14ac:dyDescent="0.2">
      <c r="A789" s="7"/>
      <c r="B789" s="8"/>
      <c r="C789" s="9"/>
      <c r="D789" s="9"/>
      <c r="E789" s="32" t="s">
        <v>608</v>
      </c>
      <c r="F789" s="9"/>
      <c r="G789" s="10"/>
      <c r="H789" s="11"/>
      <c r="I789" s="11"/>
      <c r="J789" s="58" t="e">
        <f>+#REF!+#REF!+#REF!+#REF!</f>
        <v>#REF!</v>
      </c>
      <c r="K789" s="8"/>
    </row>
    <row r="790" spans="1:11" s="1" customFormat="1" ht="78" customHeight="1" x14ac:dyDescent="0.2">
      <c r="A790" s="7">
        <v>1</v>
      </c>
      <c r="B790" s="38">
        <v>44445</v>
      </c>
      <c r="C790" s="9" t="s">
        <v>301</v>
      </c>
      <c r="D790" s="9" t="s">
        <v>608</v>
      </c>
      <c r="E790" s="9" t="s">
        <v>302</v>
      </c>
      <c r="F790" s="9" t="s">
        <v>303</v>
      </c>
      <c r="G790" s="54">
        <v>225000</v>
      </c>
      <c r="H790" s="54">
        <f>20250*2</f>
        <v>40500</v>
      </c>
      <c r="I790" s="54">
        <f t="shared" ref="I790:I796" si="30">+G790+H790</f>
        <v>265500</v>
      </c>
      <c r="J790" s="58" t="e">
        <f>+#REF!+#REF!+#REF!+#REF!</f>
        <v>#REF!</v>
      </c>
      <c r="K790" s="8">
        <v>44445</v>
      </c>
    </row>
    <row r="791" spans="1:11" s="1" customFormat="1" ht="30" x14ac:dyDescent="0.2">
      <c r="A791" s="7">
        <v>2</v>
      </c>
      <c r="B791" s="38">
        <v>44511</v>
      </c>
      <c r="C791" s="9"/>
      <c r="D791" s="9" t="s">
        <v>608</v>
      </c>
      <c r="E791" s="9" t="s">
        <v>307</v>
      </c>
      <c r="F791" s="9" t="s">
        <v>320</v>
      </c>
      <c r="G791" s="54">
        <v>236000</v>
      </c>
      <c r="H791" s="54">
        <v>0</v>
      </c>
      <c r="I791" s="54">
        <f t="shared" si="30"/>
        <v>236000</v>
      </c>
      <c r="J791" s="58" t="e">
        <f>+#REF!+#REF!+#REF!+#REF!</f>
        <v>#REF!</v>
      </c>
      <c r="K791" s="8">
        <v>44511</v>
      </c>
    </row>
    <row r="792" spans="1:11" s="1" customFormat="1" ht="60" x14ac:dyDescent="0.2">
      <c r="A792" s="7">
        <v>3</v>
      </c>
      <c r="B792" s="38">
        <v>44723</v>
      </c>
      <c r="C792" s="9" t="s">
        <v>308</v>
      </c>
      <c r="D792" s="9" t="s">
        <v>608</v>
      </c>
      <c r="E792" s="9" t="s">
        <v>309</v>
      </c>
      <c r="F792" s="9" t="s">
        <v>303</v>
      </c>
      <c r="G792" s="54">
        <v>225000</v>
      </c>
      <c r="H792" s="54">
        <f>20250*2</f>
        <v>40500</v>
      </c>
      <c r="I792" s="54">
        <f t="shared" si="30"/>
        <v>265500</v>
      </c>
      <c r="J792" s="58" t="e">
        <f>+#REF!+#REF!+#REF!+#REF!</f>
        <v>#REF!</v>
      </c>
      <c r="K792" s="8">
        <v>44771</v>
      </c>
    </row>
    <row r="793" spans="1:11" s="1" customFormat="1" ht="90" x14ac:dyDescent="0.2">
      <c r="A793" s="7">
        <v>4</v>
      </c>
      <c r="B793" s="38">
        <v>44442</v>
      </c>
      <c r="C793" s="9" t="s">
        <v>332</v>
      </c>
      <c r="D793" s="9" t="s">
        <v>608</v>
      </c>
      <c r="E793" s="9" t="s">
        <v>333</v>
      </c>
      <c r="F793" s="9" t="s">
        <v>334</v>
      </c>
      <c r="G793" s="54">
        <v>70000</v>
      </c>
      <c r="H793" s="54">
        <v>0</v>
      </c>
      <c r="I793" s="54">
        <f t="shared" si="30"/>
        <v>70000</v>
      </c>
      <c r="J793" s="58" t="e">
        <f>+#REF!+#REF!+#REF!+#REF!</f>
        <v>#REF!</v>
      </c>
      <c r="K793" s="8" t="s">
        <v>2017</v>
      </c>
    </row>
    <row r="794" spans="1:11" s="1" customFormat="1" ht="60" x14ac:dyDescent="0.2">
      <c r="A794" s="7">
        <v>5</v>
      </c>
      <c r="B794" s="38">
        <v>44457</v>
      </c>
      <c r="C794" s="9"/>
      <c r="D794" s="9" t="s">
        <v>608</v>
      </c>
      <c r="E794" s="9" t="s">
        <v>351</v>
      </c>
      <c r="F794" s="9" t="s">
        <v>602</v>
      </c>
      <c r="G794" s="54">
        <v>50000</v>
      </c>
      <c r="H794" s="54">
        <v>0</v>
      </c>
      <c r="I794" s="54">
        <f t="shared" si="30"/>
        <v>50000</v>
      </c>
      <c r="J794" s="58" t="e">
        <f>+#REF!+#REF!+#REF!+#REF!</f>
        <v>#REF!</v>
      </c>
      <c r="K794" s="8">
        <v>44457</v>
      </c>
    </row>
    <row r="795" spans="1:11" s="1" customFormat="1" ht="45" x14ac:dyDescent="0.2">
      <c r="A795" s="7">
        <v>6</v>
      </c>
      <c r="B795" s="38">
        <v>44854</v>
      </c>
      <c r="C795" s="9"/>
      <c r="D795" s="9" t="s">
        <v>608</v>
      </c>
      <c r="E795" s="9" t="s">
        <v>319</v>
      </c>
      <c r="F795" s="9" t="s">
        <v>320</v>
      </c>
      <c r="G795" s="54">
        <v>33004</v>
      </c>
      <c r="H795" s="54">
        <v>0</v>
      </c>
      <c r="I795" s="54">
        <f t="shared" si="30"/>
        <v>33004</v>
      </c>
      <c r="J795" s="58" t="e">
        <f>+#REF!+#REF!+#REF!+#REF!</f>
        <v>#REF!</v>
      </c>
      <c r="K795" s="8">
        <v>44854</v>
      </c>
    </row>
    <row r="796" spans="1:11" s="1" customFormat="1" ht="135.75" customHeight="1" x14ac:dyDescent="0.2">
      <c r="A796" s="7">
        <v>7</v>
      </c>
      <c r="B796" s="38">
        <v>45005</v>
      </c>
      <c r="C796" s="9" t="s">
        <v>1051</v>
      </c>
      <c r="D796" s="9" t="s">
        <v>608</v>
      </c>
      <c r="E796" s="9" t="s">
        <v>1052</v>
      </c>
      <c r="F796" s="9" t="s">
        <v>303</v>
      </c>
      <c r="G796" s="54">
        <v>225000</v>
      </c>
      <c r="H796" s="54">
        <f>20250+20250</f>
        <v>40500</v>
      </c>
      <c r="I796" s="54">
        <f t="shared" si="30"/>
        <v>265500</v>
      </c>
      <c r="J796" s="58" t="e">
        <f>+#REF!+#REF!+#REF!+#REF!</f>
        <v>#REF!</v>
      </c>
      <c r="K796" s="8">
        <v>45230</v>
      </c>
    </row>
    <row r="797" spans="1:11" s="28" customFormat="1" ht="15.75" x14ac:dyDescent="0.25">
      <c r="A797" s="25"/>
      <c r="B797" s="26"/>
      <c r="C797" s="27"/>
      <c r="D797" s="27"/>
      <c r="E797" s="27"/>
      <c r="F797" s="27" t="s">
        <v>593</v>
      </c>
      <c r="G797" s="24">
        <f t="shared" ref="G797:I797" si="31">SUM(G790:G796)</f>
        <v>1064004</v>
      </c>
      <c r="H797" s="24">
        <f t="shared" si="31"/>
        <v>121500</v>
      </c>
      <c r="I797" s="24">
        <f t="shared" si="31"/>
        <v>1185504</v>
      </c>
      <c r="J797" s="58" t="e">
        <f>+#REF!+#REF!+#REF!+#REF!</f>
        <v>#REF!</v>
      </c>
      <c r="K797" s="8"/>
    </row>
    <row r="798" spans="1:11" s="42" customFormat="1" ht="15.75" x14ac:dyDescent="0.25">
      <c r="A798" s="13"/>
      <c r="B798" s="40"/>
      <c r="C798" s="41"/>
      <c r="D798" s="41"/>
      <c r="E798" s="47" t="s">
        <v>609</v>
      </c>
      <c r="F798" s="41"/>
      <c r="G798" s="14"/>
      <c r="H798" s="14"/>
      <c r="I798" s="14"/>
      <c r="J798" s="58" t="e">
        <f>+#REF!+#REF!+#REF!+#REF!</f>
        <v>#REF!</v>
      </c>
      <c r="K798" s="8"/>
    </row>
    <row r="799" spans="1:11" s="1" customFormat="1" ht="90" x14ac:dyDescent="0.2">
      <c r="A799" s="7">
        <v>1</v>
      </c>
      <c r="B799" s="38">
        <v>44466</v>
      </c>
      <c r="C799" s="9" t="s">
        <v>304</v>
      </c>
      <c r="D799" s="9" t="s">
        <v>609</v>
      </c>
      <c r="E799" s="9" t="s">
        <v>305</v>
      </c>
      <c r="F799" s="9" t="s">
        <v>306</v>
      </c>
      <c r="G799" s="54">
        <v>70000</v>
      </c>
      <c r="H799" s="54">
        <f>6300*2</f>
        <v>12600</v>
      </c>
      <c r="I799" s="54">
        <f t="shared" ref="I799:I810" si="32">+G799+H799</f>
        <v>82600</v>
      </c>
      <c r="J799" s="58" t="e">
        <f>+#REF!+#REF!+#REF!+#REF!</f>
        <v>#REF!</v>
      </c>
      <c r="K799" s="8">
        <v>44495</v>
      </c>
    </row>
    <row r="800" spans="1:11" s="1" customFormat="1" ht="90" x14ac:dyDescent="0.2">
      <c r="A800" s="7">
        <v>2</v>
      </c>
      <c r="B800" s="38">
        <v>44460</v>
      </c>
      <c r="C800" s="9" t="s">
        <v>335</v>
      </c>
      <c r="D800" s="9" t="s">
        <v>609</v>
      </c>
      <c r="E800" s="9" t="s">
        <v>336</v>
      </c>
      <c r="F800" s="9" t="s">
        <v>337</v>
      </c>
      <c r="G800" s="54">
        <v>1200</v>
      </c>
      <c r="H800" s="54">
        <v>216</v>
      </c>
      <c r="I800" s="54">
        <f t="shared" si="32"/>
        <v>1416</v>
      </c>
      <c r="J800" s="58" t="e">
        <f>+#REF!+#REF!+#REF!+#REF!</f>
        <v>#REF!</v>
      </c>
      <c r="K800" s="8">
        <v>44460</v>
      </c>
    </row>
    <row r="801" spans="1:11" s="1" customFormat="1" ht="45" x14ac:dyDescent="0.2">
      <c r="A801" s="7">
        <v>3</v>
      </c>
      <c r="B801" s="38">
        <v>44651</v>
      </c>
      <c r="C801" s="9" t="s">
        <v>340</v>
      </c>
      <c r="D801" s="9" t="s">
        <v>609</v>
      </c>
      <c r="E801" s="9" t="s">
        <v>341</v>
      </c>
      <c r="F801" s="9" t="s">
        <v>337</v>
      </c>
      <c r="G801" s="54">
        <v>12600</v>
      </c>
      <c r="H801" s="54">
        <v>2268</v>
      </c>
      <c r="I801" s="54">
        <f t="shared" si="32"/>
        <v>14868</v>
      </c>
      <c r="J801" s="58" t="e">
        <f>+#REF!+#REF!+#REF!+#REF!</f>
        <v>#REF!</v>
      </c>
      <c r="K801" s="8">
        <v>44690</v>
      </c>
    </row>
    <row r="802" spans="1:11" s="1" customFormat="1" ht="60" x14ac:dyDescent="0.2">
      <c r="A802" s="7">
        <v>4</v>
      </c>
      <c r="B802" s="38">
        <v>44684</v>
      </c>
      <c r="C802" s="9" t="s">
        <v>342</v>
      </c>
      <c r="D802" s="9" t="s">
        <v>609</v>
      </c>
      <c r="E802" s="9" t="s">
        <v>343</v>
      </c>
      <c r="F802" s="9" t="s">
        <v>337</v>
      </c>
      <c r="G802" s="54">
        <v>1250</v>
      </c>
      <c r="H802" s="54">
        <v>225</v>
      </c>
      <c r="I802" s="54">
        <f t="shared" si="32"/>
        <v>1475</v>
      </c>
      <c r="J802" s="58" t="e">
        <f>+#REF!+#REF!+#REF!+#REF!</f>
        <v>#REF!</v>
      </c>
      <c r="K802" s="8">
        <v>44690</v>
      </c>
    </row>
    <row r="803" spans="1:11" s="1" customFormat="1" ht="45" x14ac:dyDescent="0.2">
      <c r="A803" s="7">
        <v>5</v>
      </c>
      <c r="B803" s="38">
        <v>44531</v>
      </c>
      <c r="C803" s="9">
        <v>1</v>
      </c>
      <c r="D803" s="9" t="s">
        <v>609</v>
      </c>
      <c r="E803" s="9" t="s">
        <v>356</v>
      </c>
      <c r="F803" s="9" t="s">
        <v>357</v>
      </c>
      <c r="G803" s="54">
        <v>50000</v>
      </c>
      <c r="H803" s="54">
        <f>4500*2</f>
        <v>9000</v>
      </c>
      <c r="I803" s="54">
        <f t="shared" si="32"/>
        <v>59000</v>
      </c>
      <c r="J803" s="58" t="e">
        <f>+#REF!+#REF!+#REF!+#REF!</f>
        <v>#REF!</v>
      </c>
      <c r="K803" s="8">
        <v>44539</v>
      </c>
    </row>
    <row r="804" spans="1:11" s="1" customFormat="1" ht="30" x14ac:dyDescent="0.2">
      <c r="A804" s="7">
        <v>6</v>
      </c>
      <c r="B804" s="38">
        <v>44494</v>
      </c>
      <c r="C804" s="9" t="s">
        <v>358</v>
      </c>
      <c r="D804" s="9" t="s">
        <v>609</v>
      </c>
      <c r="E804" s="9" t="s">
        <v>359</v>
      </c>
      <c r="F804" s="9" t="s">
        <v>360</v>
      </c>
      <c r="G804" s="54">
        <v>200000</v>
      </c>
      <c r="H804" s="54">
        <f>18000*2</f>
        <v>36000</v>
      </c>
      <c r="I804" s="54">
        <f t="shared" si="32"/>
        <v>236000</v>
      </c>
      <c r="J804" s="58" t="e">
        <f>+#REF!+#REF!+#REF!+#REF!</f>
        <v>#REF!</v>
      </c>
      <c r="K804" s="8">
        <v>44497</v>
      </c>
    </row>
    <row r="805" spans="1:11" s="1" customFormat="1" ht="30" x14ac:dyDescent="0.2">
      <c r="A805" s="7">
        <v>7</v>
      </c>
      <c r="B805" s="38">
        <v>44596</v>
      </c>
      <c r="C805" s="9" t="s">
        <v>361</v>
      </c>
      <c r="D805" s="9" t="s">
        <v>609</v>
      </c>
      <c r="E805" s="9" t="s">
        <v>359</v>
      </c>
      <c r="F805" s="9" t="s">
        <v>360</v>
      </c>
      <c r="G805" s="54">
        <v>100000</v>
      </c>
      <c r="H805" s="54">
        <f>9000*2</f>
        <v>18000</v>
      </c>
      <c r="I805" s="54">
        <f t="shared" si="32"/>
        <v>118000</v>
      </c>
      <c r="J805" s="58" t="e">
        <f>+#REF!+#REF!+#REF!+#REF!</f>
        <v>#REF!</v>
      </c>
      <c r="K805" s="8">
        <v>44597</v>
      </c>
    </row>
    <row r="806" spans="1:11" s="1" customFormat="1" ht="45" x14ac:dyDescent="0.2">
      <c r="A806" s="7">
        <v>8</v>
      </c>
      <c r="B806" s="38">
        <v>44596</v>
      </c>
      <c r="C806" s="9" t="s">
        <v>362</v>
      </c>
      <c r="D806" s="9" t="s">
        <v>609</v>
      </c>
      <c r="E806" s="9" t="s">
        <v>363</v>
      </c>
      <c r="F806" s="9" t="s">
        <v>364</v>
      </c>
      <c r="G806" s="54">
        <v>300000</v>
      </c>
      <c r="H806" s="54">
        <v>0</v>
      </c>
      <c r="I806" s="54">
        <f t="shared" si="32"/>
        <v>300000</v>
      </c>
      <c r="J806" s="58" t="e">
        <f>+#REF!+#REF!+#REF!+#REF!</f>
        <v>#REF!</v>
      </c>
      <c r="K806" s="8">
        <v>44630</v>
      </c>
    </row>
    <row r="807" spans="1:11" s="1" customFormat="1" ht="45" x14ac:dyDescent="0.2">
      <c r="A807" s="7">
        <v>9</v>
      </c>
      <c r="B807" s="38">
        <v>44856</v>
      </c>
      <c r="C807" s="9" t="s">
        <v>407</v>
      </c>
      <c r="D807" s="9" t="s">
        <v>609</v>
      </c>
      <c r="E807" s="9" t="s">
        <v>363</v>
      </c>
      <c r="F807" s="9" t="s">
        <v>364</v>
      </c>
      <c r="G807" s="54">
        <v>100000</v>
      </c>
      <c r="H807" s="54">
        <v>0</v>
      </c>
      <c r="I807" s="54">
        <f t="shared" si="32"/>
        <v>100000</v>
      </c>
      <c r="J807" s="58" t="e">
        <f>+#REF!+#REF!+#REF!+#REF!</f>
        <v>#REF!</v>
      </c>
      <c r="K807" s="8">
        <v>44881</v>
      </c>
    </row>
    <row r="808" spans="1:11" s="1" customFormat="1" ht="30" x14ac:dyDescent="0.2">
      <c r="A808" s="7">
        <v>10</v>
      </c>
      <c r="B808" s="38">
        <v>44862</v>
      </c>
      <c r="C808" s="9" t="s">
        <v>1707</v>
      </c>
      <c r="D808" s="9" t="s">
        <v>609</v>
      </c>
      <c r="E808" s="9" t="s">
        <v>1708</v>
      </c>
      <c r="F808" s="9" t="s">
        <v>360</v>
      </c>
      <c r="G808" s="54">
        <v>125000</v>
      </c>
      <c r="H808" s="54">
        <f>11250+11250</f>
        <v>22500</v>
      </c>
      <c r="I808" s="54">
        <f t="shared" si="32"/>
        <v>147500</v>
      </c>
      <c r="J808" s="58" t="e">
        <f>+#REF!+#REF!+#REF!+#REF!</f>
        <v>#REF!</v>
      </c>
      <c r="K808" s="8">
        <v>44882</v>
      </c>
    </row>
    <row r="809" spans="1:11" s="1" customFormat="1" ht="45" x14ac:dyDescent="0.2">
      <c r="A809" s="7">
        <v>11</v>
      </c>
      <c r="B809" s="38">
        <v>45237</v>
      </c>
      <c r="C809" s="9">
        <v>37</v>
      </c>
      <c r="D809" s="9" t="s">
        <v>609</v>
      </c>
      <c r="E809" s="9" t="s">
        <v>2051</v>
      </c>
      <c r="F809" s="9" t="s">
        <v>2052</v>
      </c>
      <c r="G809" s="54">
        <v>14886</v>
      </c>
      <c r="H809" s="54">
        <f>1340+1340</f>
        <v>2680</v>
      </c>
      <c r="I809" s="54">
        <f t="shared" si="32"/>
        <v>17566</v>
      </c>
      <c r="J809" s="58" t="e">
        <f>+#REF!+#REF!+#REF!+#REF!</f>
        <v>#REF!</v>
      </c>
      <c r="K809" s="8">
        <v>45237</v>
      </c>
    </row>
    <row r="810" spans="1:11" s="1" customFormat="1" ht="45" x14ac:dyDescent="0.2">
      <c r="A810" s="7">
        <v>12</v>
      </c>
      <c r="B810" s="38">
        <v>45275</v>
      </c>
      <c r="C810" s="9">
        <v>12</v>
      </c>
      <c r="D810" s="9" t="s">
        <v>609</v>
      </c>
      <c r="E810" s="9" t="s">
        <v>2051</v>
      </c>
      <c r="F810" s="9" t="s">
        <v>2052</v>
      </c>
      <c r="G810" s="54">
        <v>-14886</v>
      </c>
      <c r="H810" s="54">
        <v>-2680</v>
      </c>
      <c r="I810" s="54">
        <f t="shared" si="32"/>
        <v>-17566</v>
      </c>
      <c r="J810" s="58" t="e">
        <f>+#REF!+#REF!+#REF!+#REF!</f>
        <v>#REF!</v>
      </c>
      <c r="K810" s="8">
        <v>45275</v>
      </c>
    </row>
    <row r="811" spans="1:11" s="28" customFormat="1" ht="15.75" x14ac:dyDescent="0.25">
      <c r="A811" s="25"/>
      <c r="B811" s="26"/>
      <c r="C811" s="27"/>
      <c r="D811" s="27"/>
      <c r="E811" s="27"/>
      <c r="F811" s="27" t="s">
        <v>593</v>
      </c>
      <c r="G811" s="24">
        <f t="shared" ref="G811:I811" si="33">SUM(G799:G810)</f>
        <v>960050</v>
      </c>
      <c r="H811" s="24">
        <f t="shared" si="33"/>
        <v>100809</v>
      </c>
      <c r="I811" s="24">
        <f t="shared" si="33"/>
        <v>1060859</v>
      </c>
      <c r="J811" s="58" t="e">
        <f>+#REF!+#REF!+#REF!+#REF!</f>
        <v>#REF!</v>
      </c>
      <c r="K811" s="8"/>
    </row>
    <row r="812" spans="1:11" s="1" customFormat="1" ht="31.5" x14ac:dyDescent="0.2">
      <c r="A812" s="7"/>
      <c r="B812" s="38"/>
      <c r="C812" s="9"/>
      <c r="D812" s="9"/>
      <c r="E812" s="47" t="s">
        <v>610</v>
      </c>
      <c r="F812" s="9"/>
      <c r="G812" s="10"/>
      <c r="H812" s="29"/>
      <c r="I812" s="11"/>
      <c r="J812" s="58" t="e">
        <f>+#REF!+#REF!+#REF!+#REF!</f>
        <v>#REF!</v>
      </c>
      <c r="K812" s="8"/>
    </row>
    <row r="813" spans="1:11" s="1" customFormat="1" ht="45" x14ac:dyDescent="0.2">
      <c r="A813" s="7">
        <v>1</v>
      </c>
      <c r="B813" s="38">
        <v>44349</v>
      </c>
      <c r="C813" s="9"/>
      <c r="D813" s="9" t="s">
        <v>610</v>
      </c>
      <c r="E813" s="9" t="s">
        <v>331</v>
      </c>
      <c r="F813" s="9" t="s">
        <v>599</v>
      </c>
      <c r="G813" s="54">
        <v>30000</v>
      </c>
      <c r="H813" s="54">
        <v>0</v>
      </c>
      <c r="I813" s="54">
        <f>+G813+H813</f>
        <v>30000</v>
      </c>
      <c r="J813" s="58" t="e">
        <f>+#REF!+#REF!+#REF!+#REF!</f>
        <v>#REF!</v>
      </c>
      <c r="K813" s="8">
        <v>44354</v>
      </c>
    </row>
    <row r="814" spans="1:11" s="1" customFormat="1" ht="45" x14ac:dyDescent="0.2">
      <c r="A814" s="7">
        <v>2</v>
      </c>
      <c r="B814" s="38">
        <v>44564</v>
      </c>
      <c r="C814" s="9"/>
      <c r="D814" s="9" t="s">
        <v>610</v>
      </c>
      <c r="E814" s="9" t="s">
        <v>338</v>
      </c>
      <c r="F814" s="9" t="s">
        <v>600</v>
      </c>
      <c r="G814" s="54">
        <v>7600</v>
      </c>
      <c r="H814" s="54">
        <v>0</v>
      </c>
      <c r="I814" s="54">
        <f>+G814+H814</f>
        <v>7600</v>
      </c>
      <c r="J814" s="58" t="e">
        <f>+#REF!+#REF!+#REF!+#REF!</f>
        <v>#REF!</v>
      </c>
      <c r="K814" s="8">
        <v>44564</v>
      </c>
    </row>
    <row r="815" spans="1:11" s="1" customFormat="1" ht="45" x14ac:dyDescent="0.2">
      <c r="A815" s="7">
        <v>3</v>
      </c>
      <c r="B815" s="38">
        <v>44601</v>
      </c>
      <c r="C815" s="9"/>
      <c r="D815" s="9" t="s">
        <v>610</v>
      </c>
      <c r="E815" s="9" t="s">
        <v>339</v>
      </c>
      <c r="F815" s="9" t="s">
        <v>601</v>
      </c>
      <c r="G815" s="54">
        <v>31650</v>
      </c>
      <c r="H815" s="54">
        <v>5697</v>
      </c>
      <c r="I815" s="54">
        <f>+G815+H815</f>
        <v>37347</v>
      </c>
      <c r="J815" s="58" t="e">
        <f>+#REF!+#REF!+#REF!+#REF!</f>
        <v>#REF!</v>
      </c>
      <c r="K815" s="8">
        <v>44592</v>
      </c>
    </row>
    <row r="816" spans="1:11" s="28" customFormat="1" ht="15.75" x14ac:dyDescent="0.25">
      <c r="A816" s="25"/>
      <c r="B816" s="26"/>
      <c r="C816" s="27"/>
      <c r="D816" s="27"/>
      <c r="E816" s="27"/>
      <c r="F816" s="27" t="s">
        <v>593</v>
      </c>
      <c r="G816" s="24">
        <f t="shared" ref="G816:I816" si="34">SUM(G813:G815)</f>
        <v>69250</v>
      </c>
      <c r="H816" s="24">
        <f t="shared" si="34"/>
        <v>5697</v>
      </c>
      <c r="I816" s="24">
        <f t="shared" si="34"/>
        <v>74947</v>
      </c>
      <c r="J816" s="58" t="e">
        <f>+#REF!+#REF!+#REF!+#REF!</f>
        <v>#REF!</v>
      </c>
      <c r="K816" s="8"/>
    </row>
    <row r="817" spans="1:11" s="42" customFormat="1" ht="31.5" x14ac:dyDescent="0.25">
      <c r="A817" s="13"/>
      <c r="B817" s="40"/>
      <c r="C817" s="41"/>
      <c r="D817" s="41"/>
      <c r="E817" s="47" t="s">
        <v>611</v>
      </c>
      <c r="F817" s="41"/>
      <c r="G817" s="14"/>
      <c r="H817" s="14"/>
      <c r="I817" s="14"/>
      <c r="J817" s="58" t="e">
        <f>+#REF!+#REF!+#REF!+#REF!</f>
        <v>#REF!</v>
      </c>
      <c r="K817" s="8"/>
    </row>
    <row r="818" spans="1:11" s="1" customFormat="1" ht="75" x14ac:dyDescent="0.2">
      <c r="A818" s="7">
        <v>1</v>
      </c>
      <c r="B818" s="38">
        <v>44485</v>
      </c>
      <c r="C818" s="9">
        <v>33</v>
      </c>
      <c r="D818" s="9" t="s">
        <v>611</v>
      </c>
      <c r="E818" s="9" t="s">
        <v>353</v>
      </c>
      <c r="F818" s="9" t="s">
        <v>354</v>
      </c>
      <c r="G818" s="54">
        <v>150000</v>
      </c>
      <c r="H818" s="54">
        <f>13500*2</f>
        <v>27000</v>
      </c>
      <c r="I818" s="54">
        <f t="shared" ref="I818:I836" si="35">+G818+H818</f>
        <v>177000</v>
      </c>
      <c r="J818" s="58" t="e">
        <f>+#REF!+#REF!+#REF!+#REF!</f>
        <v>#REF!</v>
      </c>
      <c r="K818" s="8">
        <v>44485</v>
      </c>
    </row>
    <row r="819" spans="1:11" s="1" customFormat="1" ht="45" x14ac:dyDescent="0.2">
      <c r="A819" s="7">
        <v>2</v>
      </c>
      <c r="B819" s="38">
        <v>44201</v>
      </c>
      <c r="C819" s="9" t="s">
        <v>326</v>
      </c>
      <c r="D819" s="9" t="s">
        <v>611</v>
      </c>
      <c r="E819" s="9" t="s">
        <v>324</v>
      </c>
      <c r="F819" s="9" t="s">
        <v>325</v>
      </c>
      <c r="G819" s="54">
        <v>180000</v>
      </c>
      <c r="H819" s="54">
        <v>32400</v>
      </c>
      <c r="I819" s="54">
        <f t="shared" si="35"/>
        <v>212400</v>
      </c>
      <c r="J819" s="58" t="e">
        <f>+#REF!+#REF!+#REF!+#REF!</f>
        <v>#REF!</v>
      </c>
      <c r="K819" s="8">
        <v>44207</v>
      </c>
    </row>
    <row r="820" spans="1:11" s="1" customFormat="1" ht="45" x14ac:dyDescent="0.2">
      <c r="A820" s="7">
        <v>3</v>
      </c>
      <c r="B820" s="38">
        <v>44501</v>
      </c>
      <c r="C820" s="9" t="s">
        <v>327</v>
      </c>
      <c r="D820" s="9" t="s">
        <v>611</v>
      </c>
      <c r="E820" s="9" t="s">
        <v>328</v>
      </c>
      <c r="F820" s="9" t="s">
        <v>325</v>
      </c>
      <c r="G820" s="54">
        <v>180000</v>
      </c>
      <c r="H820" s="54">
        <v>32400</v>
      </c>
      <c r="I820" s="54">
        <f t="shared" si="35"/>
        <v>212400</v>
      </c>
      <c r="J820" s="58" t="e">
        <f>+#REF!+#REF!+#REF!+#REF!</f>
        <v>#REF!</v>
      </c>
      <c r="K820" s="8">
        <v>44405</v>
      </c>
    </row>
    <row r="821" spans="1:11" s="1" customFormat="1" ht="60" x14ac:dyDescent="0.2">
      <c r="A821" s="7">
        <v>4</v>
      </c>
      <c r="B821" s="38">
        <v>44751</v>
      </c>
      <c r="C821" s="9" t="s">
        <v>329</v>
      </c>
      <c r="D821" s="9" t="s">
        <v>611</v>
      </c>
      <c r="E821" s="9" t="s">
        <v>330</v>
      </c>
      <c r="F821" s="9" t="s">
        <v>325</v>
      </c>
      <c r="G821" s="54">
        <v>180000</v>
      </c>
      <c r="H821" s="54">
        <v>32400</v>
      </c>
      <c r="I821" s="54">
        <f t="shared" si="35"/>
        <v>212400</v>
      </c>
      <c r="J821" s="58" t="e">
        <f>+#REF!+#REF!+#REF!+#REF!</f>
        <v>#REF!</v>
      </c>
      <c r="K821" s="8">
        <v>44771</v>
      </c>
    </row>
    <row r="822" spans="1:11" s="1" customFormat="1" ht="45" x14ac:dyDescent="0.2">
      <c r="A822" s="7">
        <v>5</v>
      </c>
      <c r="B822" s="38">
        <v>44787</v>
      </c>
      <c r="C822" s="9" t="s">
        <v>476</v>
      </c>
      <c r="D822" s="9" t="s">
        <v>611</v>
      </c>
      <c r="E822" s="9" t="s">
        <v>939</v>
      </c>
      <c r="F822" s="9" t="s">
        <v>938</v>
      </c>
      <c r="G822" s="54">
        <v>10000</v>
      </c>
      <c r="H822" s="54">
        <v>0</v>
      </c>
      <c r="I822" s="54">
        <f t="shared" si="35"/>
        <v>10000</v>
      </c>
      <c r="J822" s="58" t="e">
        <f>+#REF!+#REF!+#REF!+#REF!</f>
        <v>#REF!</v>
      </c>
      <c r="K822" s="38">
        <v>44787</v>
      </c>
    </row>
    <row r="823" spans="1:11" s="1" customFormat="1" ht="45" x14ac:dyDescent="0.2">
      <c r="A823" s="7">
        <v>6</v>
      </c>
      <c r="B823" s="38">
        <v>44789</v>
      </c>
      <c r="C823" s="9" t="s">
        <v>476</v>
      </c>
      <c r="D823" s="9" t="s">
        <v>611</v>
      </c>
      <c r="E823" s="9" t="s">
        <v>939</v>
      </c>
      <c r="F823" s="9" t="s">
        <v>938</v>
      </c>
      <c r="G823" s="54">
        <v>9000</v>
      </c>
      <c r="H823" s="54">
        <v>0</v>
      </c>
      <c r="I823" s="54">
        <f t="shared" si="35"/>
        <v>9000</v>
      </c>
      <c r="J823" s="58" t="e">
        <f>+#REF!+#REF!+#REF!+#REF!</f>
        <v>#REF!</v>
      </c>
      <c r="K823" s="38">
        <v>44789</v>
      </c>
    </row>
    <row r="824" spans="1:11" s="1" customFormat="1" ht="45" x14ac:dyDescent="0.2">
      <c r="A824" s="7">
        <v>7</v>
      </c>
      <c r="B824" s="38">
        <v>44874</v>
      </c>
      <c r="C824" s="9" t="s">
        <v>476</v>
      </c>
      <c r="D824" s="9" t="s">
        <v>611</v>
      </c>
      <c r="E824" s="9" t="s">
        <v>534</v>
      </c>
      <c r="F824" s="9" t="s">
        <v>586</v>
      </c>
      <c r="G824" s="54">
        <v>10000</v>
      </c>
      <c r="H824" s="54">
        <v>0</v>
      </c>
      <c r="I824" s="54">
        <f t="shared" si="35"/>
        <v>10000</v>
      </c>
      <c r="J824" s="58" t="e">
        <f>+#REF!+#REF!+#REF!+#REF!</f>
        <v>#REF!</v>
      </c>
      <c r="K824" s="38">
        <v>44874</v>
      </c>
    </row>
    <row r="825" spans="1:11" s="1" customFormat="1" ht="45" x14ac:dyDescent="0.2">
      <c r="A825" s="7">
        <v>8</v>
      </c>
      <c r="B825" s="38">
        <v>44875</v>
      </c>
      <c r="C825" s="9" t="s">
        <v>476</v>
      </c>
      <c r="D825" s="9" t="s">
        <v>611</v>
      </c>
      <c r="E825" s="9" t="s">
        <v>535</v>
      </c>
      <c r="F825" s="9" t="s">
        <v>586</v>
      </c>
      <c r="G825" s="54">
        <v>5000</v>
      </c>
      <c r="H825" s="54">
        <v>0</v>
      </c>
      <c r="I825" s="54">
        <f t="shared" si="35"/>
        <v>5000</v>
      </c>
      <c r="J825" s="58" t="e">
        <f>+#REF!+#REF!+#REF!+#REF!</f>
        <v>#REF!</v>
      </c>
      <c r="K825" s="38">
        <v>44875</v>
      </c>
    </row>
    <row r="826" spans="1:11" s="1" customFormat="1" ht="45" x14ac:dyDescent="0.2">
      <c r="A826" s="7">
        <v>9</v>
      </c>
      <c r="B826" s="38">
        <v>44875</v>
      </c>
      <c r="C826" s="9" t="s">
        <v>476</v>
      </c>
      <c r="D826" s="9" t="s">
        <v>611</v>
      </c>
      <c r="E826" s="9" t="s">
        <v>535</v>
      </c>
      <c r="F826" s="9" t="s">
        <v>586</v>
      </c>
      <c r="G826" s="54">
        <v>4000</v>
      </c>
      <c r="H826" s="54">
        <v>0</v>
      </c>
      <c r="I826" s="54">
        <f t="shared" si="35"/>
        <v>4000</v>
      </c>
      <c r="J826" s="58" t="e">
        <f>+#REF!+#REF!+#REF!+#REF!</f>
        <v>#REF!</v>
      </c>
      <c r="K826" s="38">
        <v>44875</v>
      </c>
    </row>
    <row r="827" spans="1:11" s="1" customFormat="1" ht="45" x14ac:dyDescent="0.2">
      <c r="A827" s="7">
        <v>10</v>
      </c>
      <c r="B827" s="38">
        <v>44885</v>
      </c>
      <c r="C827" s="9" t="s">
        <v>476</v>
      </c>
      <c r="D827" s="9" t="s">
        <v>611</v>
      </c>
      <c r="E827" s="9" t="s">
        <v>538</v>
      </c>
      <c r="F827" s="9" t="s">
        <v>81</v>
      </c>
      <c r="G827" s="54">
        <v>3920</v>
      </c>
      <c r="H827" s="54">
        <v>0</v>
      </c>
      <c r="I827" s="54">
        <f t="shared" si="35"/>
        <v>3920</v>
      </c>
      <c r="J827" s="58" t="e">
        <f>+#REF!+#REF!+#REF!+#REF!</f>
        <v>#REF!</v>
      </c>
      <c r="K827" s="8">
        <v>44885</v>
      </c>
    </row>
    <row r="828" spans="1:11" s="1" customFormat="1" ht="45" x14ac:dyDescent="0.2">
      <c r="A828" s="7">
        <v>11</v>
      </c>
      <c r="B828" s="38">
        <v>44677</v>
      </c>
      <c r="C828" s="9" t="s">
        <v>476</v>
      </c>
      <c r="D828" s="9" t="s">
        <v>611</v>
      </c>
      <c r="E828" s="9" t="s">
        <v>229</v>
      </c>
      <c r="F828" s="9" t="s">
        <v>230</v>
      </c>
      <c r="G828" s="54">
        <v>10000</v>
      </c>
      <c r="H828" s="54">
        <v>0</v>
      </c>
      <c r="I828" s="54">
        <f t="shared" si="35"/>
        <v>10000</v>
      </c>
      <c r="J828" s="58" t="e">
        <f>+#REF!+#REF!+#REF!+#REF!</f>
        <v>#REF!</v>
      </c>
      <c r="K828" s="38">
        <v>44677</v>
      </c>
    </row>
    <row r="829" spans="1:11" s="1" customFormat="1" ht="45" x14ac:dyDescent="0.2">
      <c r="A829" s="7">
        <v>12</v>
      </c>
      <c r="B829" s="38">
        <v>44678</v>
      </c>
      <c r="C829" s="9" t="s">
        <v>476</v>
      </c>
      <c r="D829" s="9" t="s">
        <v>611</v>
      </c>
      <c r="E829" s="9" t="s">
        <v>229</v>
      </c>
      <c r="F829" s="9" t="s">
        <v>230</v>
      </c>
      <c r="G829" s="54">
        <v>8750</v>
      </c>
      <c r="H829" s="54">
        <v>0</v>
      </c>
      <c r="I829" s="54">
        <f t="shared" si="35"/>
        <v>8750</v>
      </c>
      <c r="J829" s="58" t="e">
        <f>+#REF!+#REF!+#REF!+#REF!</f>
        <v>#REF!</v>
      </c>
      <c r="K829" s="38">
        <v>44678</v>
      </c>
    </row>
    <row r="830" spans="1:11" s="1" customFormat="1" ht="45" x14ac:dyDescent="0.2">
      <c r="A830" s="7">
        <v>13</v>
      </c>
      <c r="B830" s="38">
        <v>44682</v>
      </c>
      <c r="C830" s="9" t="s">
        <v>476</v>
      </c>
      <c r="D830" s="9" t="s">
        <v>611</v>
      </c>
      <c r="E830" s="9" t="s">
        <v>229</v>
      </c>
      <c r="F830" s="9" t="s">
        <v>230</v>
      </c>
      <c r="G830" s="54">
        <v>8000</v>
      </c>
      <c r="H830" s="54">
        <v>0</v>
      </c>
      <c r="I830" s="54">
        <f t="shared" si="35"/>
        <v>8000</v>
      </c>
      <c r="J830" s="58" t="e">
        <f>+#REF!+#REF!+#REF!+#REF!</f>
        <v>#REF!</v>
      </c>
      <c r="K830" s="38">
        <v>44682</v>
      </c>
    </row>
    <row r="831" spans="1:11" s="1" customFormat="1" ht="45" x14ac:dyDescent="0.2">
      <c r="A831" s="7">
        <v>14</v>
      </c>
      <c r="B831" s="38">
        <v>44683</v>
      </c>
      <c r="C831" s="9" t="s">
        <v>476</v>
      </c>
      <c r="D831" s="9" t="s">
        <v>611</v>
      </c>
      <c r="E831" s="9" t="s">
        <v>229</v>
      </c>
      <c r="F831" s="9" t="s">
        <v>230</v>
      </c>
      <c r="G831" s="54">
        <v>7000</v>
      </c>
      <c r="H831" s="54">
        <v>0</v>
      </c>
      <c r="I831" s="54">
        <f t="shared" si="35"/>
        <v>7000</v>
      </c>
      <c r="J831" s="58" t="e">
        <f>+#REF!+#REF!+#REF!+#REF!</f>
        <v>#REF!</v>
      </c>
      <c r="K831" s="38">
        <v>44683</v>
      </c>
    </row>
    <row r="832" spans="1:11" s="1" customFormat="1" ht="45" x14ac:dyDescent="0.2">
      <c r="A832" s="7">
        <v>15</v>
      </c>
      <c r="B832" s="38">
        <v>44713</v>
      </c>
      <c r="C832" s="9" t="s">
        <v>476</v>
      </c>
      <c r="D832" s="9" t="s">
        <v>611</v>
      </c>
      <c r="E832" s="9" t="s">
        <v>1005</v>
      </c>
      <c r="F832" s="9" t="s">
        <v>1006</v>
      </c>
      <c r="G832" s="54">
        <v>7000</v>
      </c>
      <c r="H832" s="54">
        <v>0</v>
      </c>
      <c r="I832" s="54">
        <f t="shared" si="35"/>
        <v>7000</v>
      </c>
      <c r="J832" s="58" t="e">
        <f>+#REF!+#REF!+#REF!+#REF!</f>
        <v>#REF!</v>
      </c>
      <c r="K832" s="38">
        <v>44713</v>
      </c>
    </row>
    <row r="833" spans="1:11" s="1" customFormat="1" ht="45" x14ac:dyDescent="0.2">
      <c r="A833" s="7">
        <v>16</v>
      </c>
      <c r="B833" s="38">
        <v>44937</v>
      </c>
      <c r="C833" s="9" t="s">
        <v>635</v>
      </c>
      <c r="D833" s="9" t="s">
        <v>611</v>
      </c>
      <c r="E833" s="9" t="s">
        <v>229</v>
      </c>
      <c r="F833" s="9" t="s">
        <v>230</v>
      </c>
      <c r="G833" s="54">
        <v>10000</v>
      </c>
      <c r="H833" s="54">
        <v>0</v>
      </c>
      <c r="I833" s="54">
        <f t="shared" si="35"/>
        <v>10000</v>
      </c>
      <c r="J833" s="58" t="e">
        <f>+#REF!+#REF!+#REF!+#REF!</f>
        <v>#REF!</v>
      </c>
      <c r="K833" s="38">
        <v>44937</v>
      </c>
    </row>
    <row r="834" spans="1:11" s="1" customFormat="1" ht="45" x14ac:dyDescent="0.2">
      <c r="A834" s="7">
        <v>17</v>
      </c>
      <c r="B834" s="38">
        <v>44938</v>
      </c>
      <c r="C834" s="9" t="s">
        <v>635</v>
      </c>
      <c r="D834" s="9" t="s">
        <v>611</v>
      </c>
      <c r="E834" s="9" t="s">
        <v>229</v>
      </c>
      <c r="F834" s="9" t="s">
        <v>230</v>
      </c>
      <c r="G834" s="54">
        <v>8500</v>
      </c>
      <c r="H834" s="54">
        <v>0</v>
      </c>
      <c r="I834" s="54">
        <f t="shared" si="35"/>
        <v>8500</v>
      </c>
      <c r="J834" s="58" t="e">
        <f>+#REF!+#REF!+#REF!+#REF!</f>
        <v>#REF!</v>
      </c>
      <c r="K834" s="38">
        <v>44938</v>
      </c>
    </row>
    <row r="835" spans="1:11" s="1" customFormat="1" ht="75" x14ac:dyDescent="0.2">
      <c r="A835" s="7">
        <v>18</v>
      </c>
      <c r="B835" s="38">
        <v>45010</v>
      </c>
      <c r="C835" s="9">
        <v>33</v>
      </c>
      <c r="D835" s="9" t="s">
        <v>611</v>
      </c>
      <c r="E835" s="9" t="s">
        <v>1078</v>
      </c>
      <c r="F835" s="9" t="s">
        <v>354</v>
      </c>
      <c r="G835" s="54">
        <v>250999</v>
      </c>
      <c r="H835" s="54">
        <f>22590+22590</f>
        <v>45180</v>
      </c>
      <c r="I835" s="54">
        <f t="shared" si="35"/>
        <v>296179</v>
      </c>
      <c r="J835" s="58" t="e">
        <f>+#REF!+#REF!+#REF!+#REF!</f>
        <v>#REF!</v>
      </c>
      <c r="K835" s="8">
        <v>45012</v>
      </c>
    </row>
    <row r="836" spans="1:11" s="1" customFormat="1" ht="45" x14ac:dyDescent="0.2">
      <c r="A836" s="7">
        <v>19</v>
      </c>
      <c r="B836" s="38">
        <v>45212</v>
      </c>
      <c r="C836" s="9" t="s">
        <v>2032</v>
      </c>
      <c r="D836" s="9" t="s">
        <v>611</v>
      </c>
      <c r="E836" s="9" t="s">
        <v>2033</v>
      </c>
      <c r="F836" s="9" t="s">
        <v>325</v>
      </c>
      <c r="G836" s="54">
        <v>135000</v>
      </c>
      <c r="H836" s="54">
        <v>24300</v>
      </c>
      <c r="I836" s="54">
        <f t="shared" si="35"/>
        <v>159300</v>
      </c>
      <c r="J836" s="58" t="e">
        <f>+#REF!+#REF!+#REF!+#REF!</f>
        <v>#REF!</v>
      </c>
      <c r="K836" s="8"/>
    </row>
    <row r="837" spans="1:11" s="28" customFormat="1" ht="15.75" x14ac:dyDescent="0.25">
      <c r="A837" s="25"/>
      <c r="B837" s="26"/>
      <c r="C837" s="27"/>
      <c r="D837" s="27"/>
      <c r="E837" s="27"/>
      <c r="F837" s="27" t="s">
        <v>593</v>
      </c>
      <c r="G837" s="24">
        <f t="shared" ref="G837:I837" si="36">SUM(G818:G836)</f>
        <v>1177169</v>
      </c>
      <c r="H837" s="24">
        <f t="shared" si="36"/>
        <v>193680</v>
      </c>
      <c r="I837" s="24">
        <f t="shared" si="36"/>
        <v>1370849</v>
      </c>
      <c r="J837" s="58" t="e">
        <f>+#REF!+#REF!+#REF!+#REF!</f>
        <v>#REF!</v>
      </c>
      <c r="K837" s="8"/>
    </row>
    <row r="838" spans="1:11" s="1" customFormat="1" ht="15.75" x14ac:dyDescent="0.2">
      <c r="A838" s="7"/>
      <c r="B838" s="38"/>
      <c r="C838" s="9"/>
      <c r="D838" s="9"/>
      <c r="E838" s="47" t="s">
        <v>594</v>
      </c>
      <c r="F838" s="9"/>
      <c r="G838" s="10"/>
      <c r="H838" s="29"/>
      <c r="I838" s="11"/>
      <c r="J838" s="58" t="e">
        <f>+#REF!+#REF!+#REF!+#REF!</f>
        <v>#REF!</v>
      </c>
      <c r="K838" s="8"/>
    </row>
    <row r="839" spans="1:11" s="1" customFormat="1" ht="75" x14ac:dyDescent="0.2">
      <c r="A839" s="7">
        <v>1</v>
      </c>
      <c r="B839" s="38">
        <v>44387</v>
      </c>
      <c r="C839" s="9" t="s">
        <v>365</v>
      </c>
      <c r="D839" s="9" t="s">
        <v>594</v>
      </c>
      <c r="E839" s="9" t="s">
        <v>366</v>
      </c>
      <c r="F839" s="9" t="s">
        <v>367</v>
      </c>
      <c r="G839" s="54">
        <v>21086</v>
      </c>
      <c r="H839" s="54">
        <v>0</v>
      </c>
      <c r="I839" s="54">
        <f t="shared" ref="I839:I870" si="37">+G839+H839</f>
        <v>21086</v>
      </c>
      <c r="J839" s="58" t="e">
        <f>+#REF!+#REF!+#REF!+#REF!</f>
        <v>#REF!</v>
      </c>
      <c r="K839" s="8">
        <v>44406</v>
      </c>
    </row>
    <row r="840" spans="1:11" s="1" customFormat="1" ht="60" x14ac:dyDescent="0.2">
      <c r="A840" s="7">
        <v>2</v>
      </c>
      <c r="B840" s="38">
        <v>44400</v>
      </c>
      <c r="C840" s="9">
        <v>1417</v>
      </c>
      <c r="D840" s="9" t="s">
        <v>594</v>
      </c>
      <c r="E840" s="9" t="s">
        <v>368</v>
      </c>
      <c r="F840" s="9" t="s">
        <v>369</v>
      </c>
      <c r="G840" s="54">
        <v>917</v>
      </c>
      <c r="H840" s="54">
        <v>0</v>
      </c>
      <c r="I840" s="54">
        <f t="shared" si="37"/>
        <v>917</v>
      </c>
      <c r="J840" s="58" t="e">
        <f>+#REF!+#REF!+#REF!+#REF!</f>
        <v>#REF!</v>
      </c>
      <c r="K840" s="8">
        <v>44403</v>
      </c>
    </row>
    <row r="841" spans="1:11" s="1" customFormat="1" ht="75" x14ac:dyDescent="0.2">
      <c r="A841" s="7">
        <v>3</v>
      </c>
      <c r="B841" s="38">
        <v>44400</v>
      </c>
      <c r="C841" s="9"/>
      <c r="D841" s="9" t="s">
        <v>594</v>
      </c>
      <c r="E841" s="9" t="s">
        <v>370</v>
      </c>
      <c r="F841" s="9" t="s">
        <v>369</v>
      </c>
      <c r="G841" s="54">
        <v>5000</v>
      </c>
      <c r="H841" s="54">
        <v>0</v>
      </c>
      <c r="I841" s="54">
        <f t="shared" si="37"/>
        <v>5000</v>
      </c>
      <c r="J841" s="58" t="e">
        <f>+#REF!+#REF!+#REF!+#REF!</f>
        <v>#REF!</v>
      </c>
      <c r="K841" s="8">
        <v>44403</v>
      </c>
    </row>
    <row r="842" spans="1:11" s="1" customFormat="1" ht="60" x14ac:dyDescent="0.2">
      <c r="A842" s="7">
        <v>4</v>
      </c>
      <c r="B842" s="38">
        <v>44682</v>
      </c>
      <c r="C842" s="9" t="s">
        <v>371</v>
      </c>
      <c r="D842" s="9" t="s">
        <v>594</v>
      </c>
      <c r="E842" s="9" t="s">
        <v>372</v>
      </c>
      <c r="F842" s="9" t="s">
        <v>367</v>
      </c>
      <c r="G842" s="54">
        <v>13960</v>
      </c>
      <c r="H842" s="54">
        <v>0</v>
      </c>
      <c r="I842" s="54">
        <f t="shared" si="37"/>
        <v>13960</v>
      </c>
      <c r="J842" s="58" t="e">
        <f>+#REF!+#REF!+#REF!+#REF!</f>
        <v>#REF!</v>
      </c>
      <c r="K842" s="8">
        <v>44712</v>
      </c>
    </row>
    <row r="843" spans="1:11" s="1" customFormat="1" ht="75" x14ac:dyDescent="0.2">
      <c r="A843" s="7">
        <v>5</v>
      </c>
      <c r="B843" s="38">
        <v>44682</v>
      </c>
      <c r="C843" s="9" t="s">
        <v>373</v>
      </c>
      <c r="D843" s="9" t="s">
        <v>594</v>
      </c>
      <c r="E843" s="9" t="s">
        <v>374</v>
      </c>
      <c r="F843" s="9" t="s">
        <v>367</v>
      </c>
      <c r="G843" s="54">
        <v>13953</v>
      </c>
      <c r="H843" s="54">
        <v>0</v>
      </c>
      <c r="I843" s="54">
        <f t="shared" si="37"/>
        <v>13953</v>
      </c>
      <c r="J843" s="58" t="e">
        <f>+#REF!+#REF!+#REF!+#REF!</f>
        <v>#REF!</v>
      </c>
      <c r="K843" s="8">
        <v>44712</v>
      </c>
    </row>
    <row r="844" spans="1:11" s="1" customFormat="1" ht="90" x14ac:dyDescent="0.2">
      <c r="A844" s="7">
        <v>6</v>
      </c>
      <c r="B844" s="38">
        <v>44682</v>
      </c>
      <c r="C844" s="9" t="s">
        <v>375</v>
      </c>
      <c r="D844" s="9" t="s">
        <v>594</v>
      </c>
      <c r="E844" s="9" t="s">
        <v>376</v>
      </c>
      <c r="F844" s="9" t="s">
        <v>367</v>
      </c>
      <c r="G844" s="54">
        <v>7670</v>
      </c>
      <c r="H844" s="54">
        <v>0</v>
      </c>
      <c r="I844" s="54">
        <f t="shared" si="37"/>
        <v>7670</v>
      </c>
      <c r="J844" s="58" t="e">
        <f>+#REF!+#REF!+#REF!+#REF!</f>
        <v>#REF!</v>
      </c>
      <c r="K844" s="8">
        <v>44712</v>
      </c>
    </row>
    <row r="845" spans="1:11" s="1" customFormat="1" ht="45" x14ac:dyDescent="0.2">
      <c r="A845" s="7">
        <v>7</v>
      </c>
      <c r="B845" s="38">
        <v>44683</v>
      </c>
      <c r="C845" s="9"/>
      <c r="D845" s="9" t="s">
        <v>594</v>
      </c>
      <c r="E845" s="9" t="s">
        <v>377</v>
      </c>
      <c r="F845" s="9" t="s">
        <v>604</v>
      </c>
      <c r="G845" s="54">
        <v>1570</v>
      </c>
      <c r="H845" s="54">
        <v>0</v>
      </c>
      <c r="I845" s="54">
        <f t="shared" si="37"/>
        <v>1570</v>
      </c>
      <c r="J845" s="58" t="e">
        <f>+#REF!+#REF!+#REF!+#REF!</f>
        <v>#REF!</v>
      </c>
      <c r="K845" s="38">
        <v>44683</v>
      </c>
    </row>
    <row r="846" spans="1:11" s="1" customFormat="1" ht="45" x14ac:dyDescent="0.2">
      <c r="A846" s="7">
        <v>8</v>
      </c>
      <c r="B846" s="38">
        <v>44689</v>
      </c>
      <c r="C846" s="9"/>
      <c r="D846" s="9" t="s">
        <v>594</v>
      </c>
      <c r="E846" s="9" t="s">
        <v>378</v>
      </c>
      <c r="F846" s="9" t="s">
        <v>565</v>
      </c>
      <c r="G846" s="54">
        <v>9735</v>
      </c>
      <c r="H846" s="54">
        <v>0</v>
      </c>
      <c r="I846" s="54">
        <f t="shared" si="37"/>
        <v>9735</v>
      </c>
      <c r="J846" s="58" t="e">
        <f>+#REF!+#REF!+#REF!+#REF!</f>
        <v>#REF!</v>
      </c>
      <c r="K846" s="38">
        <v>44689</v>
      </c>
    </row>
    <row r="847" spans="1:11" s="1" customFormat="1" ht="60" x14ac:dyDescent="0.2">
      <c r="A847" s="7">
        <v>9</v>
      </c>
      <c r="B847" s="38">
        <v>44690</v>
      </c>
      <c r="C847" s="9" t="s">
        <v>380</v>
      </c>
      <c r="D847" s="9" t="s">
        <v>594</v>
      </c>
      <c r="E847" s="9" t="s">
        <v>381</v>
      </c>
      <c r="F847" s="9" t="s">
        <v>367</v>
      </c>
      <c r="G847" s="54">
        <v>7557</v>
      </c>
      <c r="H847" s="54">
        <v>0</v>
      </c>
      <c r="I847" s="54">
        <f t="shared" si="37"/>
        <v>7557</v>
      </c>
      <c r="J847" s="58" t="e">
        <f>+#REF!+#REF!+#REF!+#REF!</f>
        <v>#REF!</v>
      </c>
      <c r="K847" s="8">
        <v>44712</v>
      </c>
    </row>
    <row r="848" spans="1:11" s="1" customFormat="1" ht="60" x14ac:dyDescent="0.2">
      <c r="A848" s="7">
        <v>10</v>
      </c>
      <c r="B848" s="38">
        <v>44690</v>
      </c>
      <c r="C848" s="9" t="s">
        <v>382</v>
      </c>
      <c r="D848" s="9" t="s">
        <v>594</v>
      </c>
      <c r="E848" s="9" t="s">
        <v>383</v>
      </c>
      <c r="F848" s="9" t="s">
        <v>367</v>
      </c>
      <c r="G848" s="54">
        <v>7265</v>
      </c>
      <c r="H848" s="54">
        <v>0</v>
      </c>
      <c r="I848" s="54">
        <f t="shared" si="37"/>
        <v>7265</v>
      </c>
      <c r="J848" s="58" t="e">
        <f>+#REF!+#REF!+#REF!+#REF!</f>
        <v>#REF!</v>
      </c>
      <c r="K848" s="8">
        <v>44712</v>
      </c>
    </row>
    <row r="849" spans="1:11" s="1" customFormat="1" ht="30" x14ac:dyDescent="0.2">
      <c r="A849" s="7">
        <v>11</v>
      </c>
      <c r="B849" s="38">
        <v>44712</v>
      </c>
      <c r="C849" s="9"/>
      <c r="D849" s="9" t="s">
        <v>594</v>
      </c>
      <c r="E849" s="9" t="s">
        <v>990</v>
      </c>
      <c r="F849" s="9" t="s">
        <v>367</v>
      </c>
      <c r="G849" s="54">
        <v>364</v>
      </c>
      <c r="H849" s="54">
        <v>0</v>
      </c>
      <c r="I849" s="54">
        <f t="shared" si="37"/>
        <v>364</v>
      </c>
      <c r="J849" s="58" t="e">
        <f>+#REF!+#REF!+#REF!+#REF!</f>
        <v>#REF!</v>
      </c>
      <c r="K849" s="8">
        <v>44712</v>
      </c>
    </row>
    <row r="850" spans="1:11" s="1" customFormat="1" ht="45" x14ac:dyDescent="0.2">
      <c r="A850" s="7">
        <v>12</v>
      </c>
      <c r="B850" s="38">
        <v>44734</v>
      </c>
      <c r="C850" s="9" t="s">
        <v>476</v>
      </c>
      <c r="D850" s="9" t="s">
        <v>594</v>
      </c>
      <c r="E850" s="9" t="s">
        <v>991</v>
      </c>
      <c r="F850" s="9" t="s">
        <v>992</v>
      </c>
      <c r="G850" s="54">
        <v>6320</v>
      </c>
      <c r="H850" s="54">
        <v>0</v>
      </c>
      <c r="I850" s="54">
        <f t="shared" si="37"/>
        <v>6320</v>
      </c>
      <c r="J850" s="58" t="e">
        <f>+#REF!+#REF!+#REF!+#REF!</f>
        <v>#REF!</v>
      </c>
      <c r="K850" s="38">
        <v>44734</v>
      </c>
    </row>
    <row r="851" spans="1:11" s="1" customFormat="1" ht="30" x14ac:dyDescent="0.2">
      <c r="A851" s="7">
        <v>13</v>
      </c>
      <c r="B851" s="38">
        <v>44743</v>
      </c>
      <c r="C851" s="9"/>
      <c r="D851" s="9" t="s">
        <v>594</v>
      </c>
      <c r="E851" s="9" t="s">
        <v>384</v>
      </c>
      <c r="F851" s="9" t="s">
        <v>565</v>
      </c>
      <c r="G851" s="54">
        <v>1420</v>
      </c>
      <c r="H851" s="54">
        <v>0</v>
      </c>
      <c r="I851" s="54">
        <f t="shared" si="37"/>
        <v>1420</v>
      </c>
      <c r="J851" s="58" t="e">
        <f>+#REF!+#REF!+#REF!+#REF!</f>
        <v>#REF!</v>
      </c>
      <c r="K851" s="38">
        <v>44743</v>
      </c>
    </row>
    <row r="852" spans="1:11" s="1" customFormat="1" ht="60" x14ac:dyDescent="0.2">
      <c r="A852" s="7">
        <v>14</v>
      </c>
      <c r="B852" s="38">
        <v>44743</v>
      </c>
      <c r="C852" s="9" t="s">
        <v>995</v>
      </c>
      <c r="D852" s="9" t="s">
        <v>594</v>
      </c>
      <c r="E852" s="9" t="s">
        <v>996</v>
      </c>
      <c r="F852" s="9" t="s">
        <v>367</v>
      </c>
      <c r="G852" s="54">
        <v>7569</v>
      </c>
      <c r="H852" s="54">
        <v>0</v>
      </c>
      <c r="I852" s="54">
        <f t="shared" si="37"/>
        <v>7569</v>
      </c>
      <c r="J852" s="58" t="e">
        <f>+#REF!+#REF!+#REF!+#REF!</f>
        <v>#REF!</v>
      </c>
      <c r="K852" s="8">
        <v>44751</v>
      </c>
    </row>
    <row r="853" spans="1:11" s="1" customFormat="1" ht="75" x14ac:dyDescent="0.2">
      <c r="A853" s="7">
        <v>15</v>
      </c>
      <c r="B853" s="38">
        <v>44753</v>
      </c>
      <c r="C853" s="9" t="s">
        <v>385</v>
      </c>
      <c r="D853" s="9" t="s">
        <v>594</v>
      </c>
      <c r="E853" s="9" t="s">
        <v>386</v>
      </c>
      <c r="F853" s="9" t="s">
        <v>367</v>
      </c>
      <c r="G853" s="54">
        <v>13914</v>
      </c>
      <c r="H853" s="54">
        <v>0</v>
      </c>
      <c r="I853" s="54">
        <f t="shared" si="37"/>
        <v>13914</v>
      </c>
      <c r="J853" s="58" t="e">
        <f>+#REF!+#REF!+#REF!+#REF!</f>
        <v>#REF!</v>
      </c>
      <c r="K853" s="8">
        <v>44764</v>
      </c>
    </row>
    <row r="854" spans="1:11" s="1" customFormat="1" ht="30" x14ac:dyDescent="0.2">
      <c r="A854" s="7">
        <v>16</v>
      </c>
      <c r="B854" s="38">
        <v>44754</v>
      </c>
      <c r="C854" s="9"/>
      <c r="D854" s="9" t="s">
        <v>594</v>
      </c>
      <c r="E854" s="9" t="s">
        <v>990</v>
      </c>
      <c r="F854" s="9" t="s">
        <v>367</v>
      </c>
      <c r="G854" s="54">
        <f>46+90</f>
        <v>136</v>
      </c>
      <c r="H854" s="54">
        <v>0</v>
      </c>
      <c r="I854" s="54">
        <f t="shared" si="37"/>
        <v>136</v>
      </c>
      <c r="J854" s="58" t="e">
        <f>+#REF!+#REF!+#REF!+#REF!</f>
        <v>#REF!</v>
      </c>
      <c r="K854" s="8" t="s">
        <v>1999</v>
      </c>
    </row>
    <row r="855" spans="1:11" s="1" customFormat="1" ht="45" x14ac:dyDescent="0.2">
      <c r="A855" s="7">
        <v>17</v>
      </c>
      <c r="B855" s="38">
        <v>44786</v>
      </c>
      <c r="C855" s="9" t="s">
        <v>387</v>
      </c>
      <c r="D855" s="9" t="s">
        <v>594</v>
      </c>
      <c r="E855" s="9" t="s">
        <v>388</v>
      </c>
      <c r="F855" s="9" t="s">
        <v>605</v>
      </c>
      <c r="G855" s="54">
        <v>2700</v>
      </c>
      <c r="H855" s="54">
        <v>0</v>
      </c>
      <c r="I855" s="54">
        <f t="shared" si="37"/>
        <v>2700</v>
      </c>
      <c r="J855" s="58" t="e">
        <f>+#REF!+#REF!+#REF!+#REF!</f>
        <v>#REF!</v>
      </c>
      <c r="K855" s="38">
        <v>44786</v>
      </c>
    </row>
    <row r="856" spans="1:11" s="1" customFormat="1" ht="60" x14ac:dyDescent="0.2">
      <c r="A856" s="7">
        <v>18</v>
      </c>
      <c r="B856" s="38">
        <v>44793</v>
      </c>
      <c r="C856" s="9"/>
      <c r="D856" s="9" t="s">
        <v>594</v>
      </c>
      <c r="E856" s="9" t="s">
        <v>389</v>
      </c>
      <c r="F856" s="9" t="s">
        <v>390</v>
      </c>
      <c r="G856" s="54">
        <v>3399</v>
      </c>
      <c r="H856" s="54">
        <v>0</v>
      </c>
      <c r="I856" s="54">
        <f t="shared" si="37"/>
        <v>3399</v>
      </c>
      <c r="J856" s="58" t="e">
        <f>+#REF!+#REF!+#REF!+#REF!</f>
        <v>#REF!</v>
      </c>
      <c r="K856" s="8">
        <v>44793</v>
      </c>
    </row>
    <row r="857" spans="1:11" s="1" customFormat="1" ht="45" x14ac:dyDescent="0.2">
      <c r="A857" s="7">
        <v>19</v>
      </c>
      <c r="B857" s="38">
        <v>44798</v>
      </c>
      <c r="C857" s="9"/>
      <c r="D857" s="9" t="s">
        <v>594</v>
      </c>
      <c r="E857" s="9" t="s">
        <v>391</v>
      </c>
      <c r="F857" s="9" t="s">
        <v>565</v>
      </c>
      <c r="G857" s="54">
        <v>10000</v>
      </c>
      <c r="H857" s="54">
        <v>0</v>
      </c>
      <c r="I857" s="54">
        <f t="shared" si="37"/>
        <v>10000</v>
      </c>
      <c r="J857" s="58" t="e">
        <f>+#REF!+#REF!+#REF!+#REF!</f>
        <v>#REF!</v>
      </c>
      <c r="K857" s="38">
        <v>44798</v>
      </c>
    </row>
    <row r="858" spans="1:11" s="1" customFormat="1" ht="45" x14ac:dyDescent="0.2">
      <c r="A858" s="7">
        <v>20</v>
      </c>
      <c r="B858" s="38">
        <v>44799</v>
      </c>
      <c r="C858" s="9"/>
      <c r="D858" s="9" t="s">
        <v>594</v>
      </c>
      <c r="E858" s="9" t="s">
        <v>391</v>
      </c>
      <c r="F858" s="9" t="s">
        <v>565</v>
      </c>
      <c r="G858" s="54">
        <v>8888</v>
      </c>
      <c r="H858" s="54">
        <v>0</v>
      </c>
      <c r="I858" s="54">
        <f t="shared" si="37"/>
        <v>8888</v>
      </c>
      <c r="J858" s="58" t="e">
        <f>+#REF!+#REF!+#REF!+#REF!</f>
        <v>#REF!</v>
      </c>
      <c r="K858" s="38">
        <v>44799</v>
      </c>
    </row>
    <row r="859" spans="1:11" s="1" customFormat="1" ht="75" x14ac:dyDescent="0.2">
      <c r="A859" s="7">
        <v>21</v>
      </c>
      <c r="B859" s="38">
        <v>44814</v>
      </c>
      <c r="C859" s="9" t="s">
        <v>392</v>
      </c>
      <c r="D859" s="9" t="s">
        <v>594</v>
      </c>
      <c r="E859" s="9" t="s">
        <v>393</v>
      </c>
      <c r="F859" s="9" t="s">
        <v>367</v>
      </c>
      <c r="G859" s="54">
        <v>3708</v>
      </c>
      <c r="H859" s="54">
        <v>0</v>
      </c>
      <c r="I859" s="54">
        <f t="shared" si="37"/>
        <v>3708</v>
      </c>
      <c r="J859" s="58" t="e">
        <f>+#REF!+#REF!+#REF!+#REF!</f>
        <v>#REF!</v>
      </c>
      <c r="K859" s="8">
        <v>44814</v>
      </c>
    </row>
    <row r="860" spans="1:11" s="1" customFormat="1" ht="75" x14ac:dyDescent="0.2">
      <c r="A860" s="7">
        <v>22</v>
      </c>
      <c r="B860" s="38">
        <v>44814</v>
      </c>
      <c r="C860" s="9" t="s">
        <v>394</v>
      </c>
      <c r="D860" s="9" t="s">
        <v>594</v>
      </c>
      <c r="E860" s="9" t="s">
        <v>395</v>
      </c>
      <c r="F860" s="9" t="s">
        <v>367</v>
      </c>
      <c r="G860" s="54">
        <v>7189</v>
      </c>
      <c r="H860" s="54">
        <v>0</v>
      </c>
      <c r="I860" s="54">
        <f t="shared" si="37"/>
        <v>7189</v>
      </c>
      <c r="J860" s="58" t="e">
        <f>+#REF!+#REF!+#REF!+#REF!</f>
        <v>#REF!</v>
      </c>
      <c r="K860" s="8">
        <v>44814</v>
      </c>
    </row>
    <row r="861" spans="1:11" s="1" customFormat="1" ht="90" x14ac:dyDescent="0.2">
      <c r="A861" s="7">
        <v>23</v>
      </c>
      <c r="B861" s="38">
        <v>44814</v>
      </c>
      <c r="C861" s="9" t="s">
        <v>396</v>
      </c>
      <c r="D861" s="9" t="s">
        <v>594</v>
      </c>
      <c r="E861" s="9" t="s">
        <v>397</v>
      </c>
      <c r="F861" s="9" t="s">
        <v>367</v>
      </c>
      <c r="G861" s="54">
        <v>6427</v>
      </c>
      <c r="H861" s="54">
        <v>0</v>
      </c>
      <c r="I861" s="54">
        <f t="shared" si="37"/>
        <v>6427</v>
      </c>
      <c r="J861" s="58" t="e">
        <f>+#REF!+#REF!+#REF!+#REF!</f>
        <v>#REF!</v>
      </c>
      <c r="K861" s="8">
        <v>44814</v>
      </c>
    </row>
    <row r="862" spans="1:11" s="1" customFormat="1" ht="30" x14ac:dyDescent="0.2">
      <c r="A862" s="7">
        <v>24</v>
      </c>
      <c r="B862" s="38">
        <v>44818</v>
      </c>
      <c r="C862" s="9"/>
      <c r="D862" s="9" t="s">
        <v>594</v>
      </c>
      <c r="E862" s="9" t="s">
        <v>990</v>
      </c>
      <c r="F862" s="9" t="s">
        <v>367</v>
      </c>
      <c r="G862" s="54">
        <v>182</v>
      </c>
      <c r="H862" s="54">
        <v>0</v>
      </c>
      <c r="I862" s="54">
        <f t="shared" si="37"/>
        <v>182</v>
      </c>
      <c r="J862" s="58" t="e">
        <f>+#REF!+#REF!+#REF!+#REF!</f>
        <v>#REF!</v>
      </c>
      <c r="K862" s="8">
        <v>44814</v>
      </c>
    </row>
    <row r="863" spans="1:11" s="1" customFormat="1" ht="60" x14ac:dyDescent="0.2">
      <c r="A863" s="7">
        <v>25</v>
      </c>
      <c r="B863" s="38">
        <v>44821</v>
      </c>
      <c r="C863" s="9" t="s">
        <v>476</v>
      </c>
      <c r="D863" s="9" t="s">
        <v>594</v>
      </c>
      <c r="E863" s="9" t="s">
        <v>997</v>
      </c>
      <c r="F863" s="9" t="s">
        <v>594</v>
      </c>
      <c r="G863" s="54">
        <v>5320</v>
      </c>
      <c r="H863" s="54">
        <v>0</v>
      </c>
      <c r="I863" s="54">
        <f t="shared" si="37"/>
        <v>5320</v>
      </c>
      <c r="J863" s="58" t="e">
        <f>+#REF!+#REF!+#REF!+#REF!</f>
        <v>#REF!</v>
      </c>
      <c r="K863" s="38">
        <v>44821</v>
      </c>
    </row>
    <row r="864" spans="1:11" s="1" customFormat="1" ht="60" x14ac:dyDescent="0.2">
      <c r="A864" s="7">
        <v>26</v>
      </c>
      <c r="B864" s="38">
        <v>44822</v>
      </c>
      <c r="C864" s="9" t="s">
        <v>476</v>
      </c>
      <c r="D864" s="9" t="s">
        <v>594</v>
      </c>
      <c r="E864" s="9" t="s">
        <v>997</v>
      </c>
      <c r="F864" s="9" t="s">
        <v>594</v>
      </c>
      <c r="G864" s="54">
        <v>7000</v>
      </c>
      <c r="H864" s="54">
        <v>0</v>
      </c>
      <c r="I864" s="54">
        <f t="shared" si="37"/>
        <v>7000</v>
      </c>
      <c r="J864" s="58" t="e">
        <f>+#REF!+#REF!+#REF!+#REF!</f>
        <v>#REF!</v>
      </c>
      <c r="K864" s="38">
        <v>44822</v>
      </c>
    </row>
    <row r="865" spans="1:11" s="1" customFormat="1" ht="30" x14ac:dyDescent="0.2">
      <c r="A865" s="7">
        <v>27</v>
      </c>
      <c r="B865" s="38">
        <v>44824</v>
      </c>
      <c r="C865" s="9" t="s">
        <v>476</v>
      </c>
      <c r="D865" s="9" t="s">
        <v>594</v>
      </c>
      <c r="E865" s="9" t="s">
        <v>998</v>
      </c>
      <c r="F865" s="9" t="s">
        <v>594</v>
      </c>
      <c r="G865" s="54">
        <v>4250</v>
      </c>
      <c r="H865" s="54">
        <v>0</v>
      </c>
      <c r="I865" s="54">
        <f t="shared" si="37"/>
        <v>4250</v>
      </c>
      <c r="J865" s="58" t="e">
        <f>+#REF!+#REF!+#REF!+#REF!</f>
        <v>#REF!</v>
      </c>
      <c r="K865" s="38">
        <v>44824</v>
      </c>
    </row>
    <row r="866" spans="1:11" s="1" customFormat="1" ht="60" x14ac:dyDescent="0.2">
      <c r="A866" s="7">
        <v>28</v>
      </c>
      <c r="B866" s="38">
        <v>44841</v>
      </c>
      <c r="C866" s="9"/>
      <c r="D866" s="9" t="s">
        <v>594</v>
      </c>
      <c r="E866" s="9" t="s">
        <v>398</v>
      </c>
      <c r="F866" s="9" t="s">
        <v>605</v>
      </c>
      <c r="G866" s="54">
        <v>2500</v>
      </c>
      <c r="H866" s="54">
        <v>0</v>
      </c>
      <c r="I866" s="54">
        <f t="shared" si="37"/>
        <v>2500</v>
      </c>
      <c r="J866" s="58" t="e">
        <f>+#REF!+#REF!+#REF!+#REF!</f>
        <v>#REF!</v>
      </c>
      <c r="K866" s="38">
        <v>44841</v>
      </c>
    </row>
    <row r="867" spans="1:11" s="1" customFormat="1" ht="105" x14ac:dyDescent="0.2">
      <c r="A867" s="7">
        <v>29</v>
      </c>
      <c r="B867" s="38">
        <v>44842</v>
      </c>
      <c r="C867" s="9"/>
      <c r="D867" s="9" t="s">
        <v>594</v>
      </c>
      <c r="E867" s="9" t="s">
        <v>399</v>
      </c>
      <c r="F867" s="9" t="s">
        <v>585</v>
      </c>
      <c r="G867" s="54">
        <v>3150</v>
      </c>
      <c r="H867" s="54">
        <v>0</v>
      </c>
      <c r="I867" s="54">
        <f t="shared" si="37"/>
        <v>3150</v>
      </c>
      <c r="J867" s="58" t="e">
        <f>+#REF!+#REF!+#REF!+#REF!</f>
        <v>#REF!</v>
      </c>
      <c r="K867" s="8">
        <v>44842</v>
      </c>
    </row>
    <row r="868" spans="1:11" s="1" customFormat="1" ht="45" x14ac:dyDescent="0.2">
      <c r="A868" s="7">
        <v>30</v>
      </c>
      <c r="B868" s="38">
        <v>44843</v>
      </c>
      <c r="C868" s="9"/>
      <c r="D868" s="9" t="s">
        <v>594</v>
      </c>
      <c r="E868" s="9" t="s">
        <v>400</v>
      </c>
      <c r="F868" s="9" t="s">
        <v>565</v>
      </c>
      <c r="G868" s="54">
        <v>1780</v>
      </c>
      <c r="H868" s="54"/>
      <c r="I868" s="54">
        <f t="shared" si="37"/>
        <v>1780</v>
      </c>
      <c r="J868" s="58" t="e">
        <f>+#REF!+#REF!+#REF!+#REF!</f>
        <v>#REF!</v>
      </c>
      <c r="K868" s="38">
        <v>44843</v>
      </c>
    </row>
    <row r="869" spans="1:11" s="1" customFormat="1" ht="45" x14ac:dyDescent="0.2">
      <c r="A869" s="7">
        <v>31</v>
      </c>
      <c r="B869" s="38">
        <v>44905</v>
      </c>
      <c r="C869" s="9" t="s">
        <v>671</v>
      </c>
      <c r="D869" s="9" t="s">
        <v>594</v>
      </c>
      <c r="E869" s="9" t="s">
        <v>670</v>
      </c>
      <c r="F869" s="9" t="s">
        <v>669</v>
      </c>
      <c r="G869" s="54">
        <v>4720</v>
      </c>
      <c r="H869" s="54">
        <v>0</v>
      </c>
      <c r="I869" s="54">
        <f t="shared" si="37"/>
        <v>4720</v>
      </c>
      <c r="J869" s="58" t="e">
        <f>+#REF!+#REF!+#REF!+#REF!</f>
        <v>#REF!</v>
      </c>
      <c r="K869" s="38">
        <v>44905</v>
      </c>
    </row>
    <row r="870" spans="1:11" s="1" customFormat="1" ht="30" x14ac:dyDescent="0.2">
      <c r="A870" s="7">
        <v>32</v>
      </c>
      <c r="B870" s="38">
        <v>44872</v>
      </c>
      <c r="C870" s="9" t="s">
        <v>676</v>
      </c>
      <c r="D870" s="9" t="s">
        <v>594</v>
      </c>
      <c r="E870" s="9" t="s">
        <v>677</v>
      </c>
      <c r="F870" s="9" t="s">
        <v>605</v>
      </c>
      <c r="G870" s="54">
        <v>2800</v>
      </c>
      <c r="H870" s="54">
        <v>0</v>
      </c>
      <c r="I870" s="54">
        <f t="shared" si="37"/>
        <v>2800</v>
      </c>
      <c r="J870" s="58" t="e">
        <f>+#REF!+#REF!+#REF!+#REF!</f>
        <v>#REF!</v>
      </c>
      <c r="K870" s="38">
        <v>44872</v>
      </c>
    </row>
    <row r="871" spans="1:11" s="1" customFormat="1" ht="75" x14ac:dyDescent="0.2">
      <c r="A871" s="7">
        <v>33</v>
      </c>
      <c r="B871" s="38">
        <v>44892</v>
      </c>
      <c r="C871" s="9" t="s">
        <v>476</v>
      </c>
      <c r="D871" s="9" t="s">
        <v>594</v>
      </c>
      <c r="E871" s="9" t="s">
        <v>679</v>
      </c>
      <c r="F871" s="9" t="s">
        <v>678</v>
      </c>
      <c r="G871" s="54">
        <v>4310</v>
      </c>
      <c r="H871" s="54">
        <v>0</v>
      </c>
      <c r="I871" s="54">
        <f t="shared" ref="I871:I902" si="38">+G871+H871</f>
        <v>4310</v>
      </c>
      <c r="J871" s="58" t="e">
        <f>+#REF!+#REF!+#REF!+#REF!</f>
        <v>#REF!</v>
      </c>
      <c r="K871" s="38">
        <v>44892</v>
      </c>
    </row>
    <row r="872" spans="1:11" s="1" customFormat="1" ht="75" x14ac:dyDescent="0.2">
      <c r="A872" s="7">
        <v>34</v>
      </c>
      <c r="B872" s="38">
        <v>44892</v>
      </c>
      <c r="C872" s="9" t="s">
        <v>476</v>
      </c>
      <c r="D872" s="9" t="s">
        <v>594</v>
      </c>
      <c r="E872" s="9" t="s">
        <v>680</v>
      </c>
      <c r="F872" s="9" t="s">
        <v>678</v>
      </c>
      <c r="G872" s="54">
        <v>1000</v>
      </c>
      <c r="H872" s="54">
        <v>0</v>
      </c>
      <c r="I872" s="54">
        <f t="shared" si="38"/>
        <v>1000</v>
      </c>
      <c r="J872" s="58" t="e">
        <f>+#REF!+#REF!+#REF!+#REF!</f>
        <v>#REF!</v>
      </c>
      <c r="K872" s="38">
        <v>44892</v>
      </c>
    </row>
    <row r="873" spans="1:11" s="1" customFormat="1" ht="60" x14ac:dyDescent="0.2">
      <c r="A873" s="7">
        <v>35</v>
      </c>
      <c r="B873" s="38">
        <v>44896</v>
      </c>
      <c r="C873" s="9" t="s">
        <v>999</v>
      </c>
      <c r="D873" s="9" t="s">
        <v>594</v>
      </c>
      <c r="E873" s="9" t="s">
        <v>1000</v>
      </c>
      <c r="F873" s="9" t="s">
        <v>367</v>
      </c>
      <c r="G873" s="54">
        <v>13846</v>
      </c>
      <c r="H873" s="54">
        <v>0</v>
      </c>
      <c r="I873" s="54">
        <f t="shared" si="38"/>
        <v>13846</v>
      </c>
      <c r="J873" s="58" t="e">
        <f>+#REF!+#REF!+#REF!+#REF!</f>
        <v>#REF!</v>
      </c>
      <c r="K873" s="8">
        <v>44921</v>
      </c>
    </row>
    <row r="874" spans="1:11" s="1" customFormat="1" ht="45" x14ac:dyDescent="0.2">
      <c r="A874" s="7">
        <v>36</v>
      </c>
      <c r="B874" s="38">
        <v>44896</v>
      </c>
      <c r="C874" s="9" t="s">
        <v>1001</v>
      </c>
      <c r="D874" s="9" t="s">
        <v>594</v>
      </c>
      <c r="E874" s="9" t="s">
        <v>1002</v>
      </c>
      <c r="F874" s="9" t="s">
        <v>367</v>
      </c>
      <c r="G874" s="54">
        <v>6452</v>
      </c>
      <c r="H874" s="54">
        <v>0</v>
      </c>
      <c r="I874" s="54">
        <f t="shared" si="38"/>
        <v>6452</v>
      </c>
      <c r="J874" s="58" t="e">
        <f>+#REF!+#REF!+#REF!+#REF!</f>
        <v>#REF!</v>
      </c>
      <c r="K874" s="8">
        <v>44921</v>
      </c>
    </row>
    <row r="875" spans="1:11" s="1" customFormat="1" ht="45" x14ac:dyDescent="0.2">
      <c r="A875" s="7">
        <v>37</v>
      </c>
      <c r="B875" s="38">
        <v>44896</v>
      </c>
      <c r="C875" s="9" t="s">
        <v>1003</v>
      </c>
      <c r="D875" s="9" t="s">
        <v>594</v>
      </c>
      <c r="E875" s="9" t="s">
        <v>1004</v>
      </c>
      <c r="F875" s="9" t="s">
        <v>367</v>
      </c>
      <c r="G875" s="54">
        <v>9542</v>
      </c>
      <c r="H875" s="54">
        <v>0</v>
      </c>
      <c r="I875" s="54">
        <f t="shared" si="38"/>
        <v>9542</v>
      </c>
      <c r="J875" s="58" t="e">
        <f>+#REF!+#REF!+#REF!+#REF!</f>
        <v>#REF!</v>
      </c>
      <c r="K875" s="8">
        <v>44921</v>
      </c>
    </row>
    <row r="876" spans="1:11" s="1" customFormat="1" ht="30" x14ac:dyDescent="0.2">
      <c r="A876" s="7">
        <v>38</v>
      </c>
      <c r="B876" s="38">
        <v>44896</v>
      </c>
      <c r="C876" s="9"/>
      <c r="D876" s="9" t="s">
        <v>594</v>
      </c>
      <c r="E876" s="9" t="s">
        <v>990</v>
      </c>
      <c r="F876" s="9" t="s">
        <v>367</v>
      </c>
      <c r="G876" s="54">
        <v>184</v>
      </c>
      <c r="H876" s="54">
        <v>0</v>
      </c>
      <c r="I876" s="54">
        <f t="shared" si="38"/>
        <v>184</v>
      </c>
      <c r="J876" s="58" t="e">
        <f>+#REF!+#REF!+#REF!+#REF!</f>
        <v>#REF!</v>
      </c>
      <c r="K876" s="8">
        <v>44921</v>
      </c>
    </row>
    <row r="877" spans="1:11" s="1" customFormat="1" ht="60" x14ac:dyDescent="0.2">
      <c r="A877" s="7">
        <v>39</v>
      </c>
      <c r="B877" s="38">
        <v>44913</v>
      </c>
      <c r="C877" s="9" t="s">
        <v>476</v>
      </c>
      <c r="D877" s="9" t="s">
        <v>594</v>
      </c>
      <c r="E877" s="9" t="s">
        <v>715</v>
      </c>
      <c r="F877" s="9" t="s">
        <v>605</v>
      </c>
      <c r="G877" s="54">
        <v>2500</v>
      </c>
      <c r="H877" s="54">
        <v>0</v>
      </c>
      <c r="I877" s="54">
        <f t="shared" si="38"/>
        <v>2500</v>
      </c>
      <c r="J877" s="58" t="e">
        <f>+#REF!+#REF!+#REF!+#REF!</f>
        <v>#REF!</v>
      </c>
      <c r="K877" s="38">
        <v>44913</v>
      </c>
    </row>
    <row r="878" spans="1:11" s="1" customFormat="1" ht="60" x14ac:dyDescent="0.2">
      <c r="A878" s="7">
        <v>40</v>
      </c>
      <c r="B878" s="38">
        <v>44929</v>
      </c>
      <c r="C878" s="9" t="s">
        <v>476</v>
      </c>
      <c r="D878" s="9" t="s">
        <v>594</v>
      </c>
      <c r="E878" s="9" t="s">
        <v>783</v>
      </c>
      <c r="F878" s="9" t="s">
        <v>785</v>
      </c>
      <c r="G878" s="54">
        <v>1085</v>
      </c>
      <c r="H878" s="54">
        <v>0</v>
      </c>
      <c r="I878" s="54">
        <f t="shared" si="38"/>
        <v>1085</v>
      </c>
      <c r="J878" s="58" t="e">
        <f>+#REF!+#REF!+#REF!+#REF!</f>
        <v>#REF!</v>
      </c>
      <c r="K878" s="8"/>
    </row>
    <row r="879" spans="1:11" s="1" customFormat="1" ht="60" x14ac:dyDescent="0.2">
      <c r="A879" s="7">
        <v>41</v>
      </c>
      <c r="B879" s="38">
        <v>44932</v>
      </c>
      <c r="C879" s="9" t="s">
        <v>476</v>
      </c>
      <c r="D879" s="9" t="s">
        <v>594</v>
      </c>
      <c r="E879" s="9" t="s">
        <v>784</v>
      </c>
      <c r="F879" s="9" t="s">
        <v>793</v>
      </c>
      <c r="G879" s="54">
        <v>2060</v>
      </c>
      <c r="H879" s="54">
        <v>0</v>
      </c>
      <c r="I879" s="54">
        <f t="shared" si="38"/>
        <v>2060</v>
      </c>
      <c r="J879" s="58" t="e">
        <f>+#REF!+#REF!+#REF!+#REF!</f>
        <v>#REF!</v>
      </c>
      <c r="K879" s="8"/>
    </row>
    <row r="880" spans="1:11" s="1" customFormat="1" ht="60" x14ac:dyDescent="0.2">
      <c r="A880" s="7">
        <v>42</v>
      </c>
      <c r="B880" s="38">
        <v>44936</v>
      </c>
      <c r="C880" s="9"/>
      <c r="D880" s="9" t="s">
        <v>594</v>
      </c>
      <c r="E880" s="9" t="s">
        <v>787</v>
      </c>
      <c r="F880" s="9" t="s">
        <v>587</v>
      </c>
      <c r="G880" s="54">
        <v>36600</v>
      </c>
      <c r="H880" s="54">
        <v>0</v>
      </c>
      <c r="I880" s="54">
        <f t="shared" si="38"/>
        <v>36600</v>
      </c>
      <c r="J880" s="58" t="e">
        <f>+#REF!+#REF!+#REF!+#REF!</f>
        <v>#REF!</v>
      </c>
      <c r="K880" s="8">
        <v>44938</v>
      </c>
    </row>
    <row r="881" spans="1:11" s="1" customFormat="1" ht="75" x14ac:dyDescent="0.2">
      <c r="A881" s="7">
        <v>43</v>
      </c>
      <c r="B881" s="38">
        <v>44937</v>
      </c>
      <c r="C881" s="9" t="s">
        <v>476</v>
      </c>
      <c r="D881" s="9" t="s">
        <v>594</v>
      </c>
      <c r="E881" s="9" t="s">
        <v>786</v>
      </c>
      <c r="F881" s="9" t="s">
        <v>792</v>
      </c>
      <c r="G881" s="54">
        <v>1880</v>
      </c>
      <c r="H881" s="54">
        <v>0</v>
      </c>
      <c r="I881" s="54">
        <f t="shared" si="38"/>
        <v>1880</v>
      </c>
      <c r="J881" s="58" t="e">
        <f>+#REF!+#REF!+#REF!+#REF!</f>
        <v>#REF!</v>
      </c>
      <c r="K881" s="8"/>
    </row>
    <row r="882" spans="1:11" s="1" customFormat="1" ht="30" x14ac:dyDescent="0.2">
      <c r="A882" s="7">
        <v>44</v>
      </c>
      <c r="B882" s="38">
        <v>44946</v>
      </c>
      <c r="C882" s="9" t="s">
        <v>476</v>
      </c>
      <c r="D882" s="9" t="s">
        <v>594</v>
      </c>
      <c r="E882" s="9" t="s">
        <v>791</v>
      </c>
      <c r="F882" s="9" t="s">
        <v>794</v>
      </c>
      <c r="G882" s="54">
        <v>2480</v>
      </c>
      <c r="H882" s="54">
        <v>0</v>
      </c>
      <c r="I882" s="54">
        <f t="shared" si="38"/>
        <v>2480</v>
      </c>
      <c r="J882" s="58" t="e">
        <f>+#REF!+#REF!+#REF!+#REF!</f>
        <v>#REF!</v>
      </c>
      <c r="K882" s="8"/>
    </row>
    <row r="883" spans="1:11" s="1" customFormat="1" ht="45" x14ac:dyDescent="0.2">
      <c r="A883" s="7">
        <v>45</v>
      </c>
      <c r="B883" s="38">
        <v>44953</v>
      </c>
      <c r="C883" s="9" t="s">
        <v>476</v>
      </c>
      <c r="D883" s="9" t="s">
        <v>594</v>
      </c>
      <c r="E883" s="9" t="s">
        <v>836</v>
      </c>
      <c r="F883" s="9" t="s">
        <v>835</v>
      </c>
      <c r="G883" s="54">
        <v>5845</v>
      </c>
      <c r="H883" s="54">
        <v>0</v>
      </c>
      <c r="I883" s="54">
        <f t="shared" si="38"/>
        <v>5845</v>
      </c>
      <c r="J883" s="58" t="e">
        <f>+#REF!+#REF!+#REF!+#REF!</f>
        <v>#REF!</v>
      </c>
      <c r="K883" s="8"/>
    </row>
    <row r="884" spans="1:11" s="1" customFormat="1" ht="45" x14ac:dyDescent="0.2">
      <c r="A884" s="7">
        <v>46</v>
      </c>
      <c r="B884" s="38">
        <v>44955</v>
      </c>
      <c r="C884" s="9" t="s">
        <v>476</v>
      </c>
      <c r="D884" s="9" t="s">
        <v>594</v>
      </c>
      <c r="E884" s="9" t="s">
        <v>855</v>
      </c>
      <c r="F884" s="9" t="s">
        <v>856</v>
      </c>
      <c r="G884" s="54">
        <v>2500</v>
      </c>
      <c r="H884" s="54">
        <v>0</v>
      </c>
      <c r="I884" s="54">
        <f t="shared" si="38"/>
        <v>2500</v>
      </c>
      <c r="J884" s="58" t="e">
        <f>+#REF!+#REF!+#REF!+#REF!</f>
        <v>#REF!</v>
      </c>
      <c r="K884" s="8"/>
    </row>
    <row r="885" spans="1:11" s="1" customFormat="1" ht="45" x14ac:dyDescent="0.2">
      <c r="A885" s="7">
        <v>47</v>
      </c>
      <c r="B885" s="38">
        <v>44958</v>
      </c>
      <c r="C885" s="9">
        <v>541</v>
      </c>
      <c r="D885" s="9" t="s">
        <v>594</v>
      </c>
      <c r="E885" s="9" t="s">
        <v>884</v>
      </c>
      <c r="F885" s="9" t="s">
        <v>587</v>
      </c>
      <c r="G885" s="54">
        <v>34900</v>
      </c>
      <c r="H885" s="54">
        <v>0</v>
      </c>
      <c r="I885" s="54">
        <f t="shared" si="38"/>
        <v>34900</v>
      </c>
      <c r="J885" s="58" t="e">
        <f>+#REF!+#REF!+#REF!+#REF!</f>
        <v>#REF!</v>
      </c>
      <c r="K885" s="8">
        <v>44970</v>
      </c>
    </row>
    <row r="886" spans="1:11" s="1" customFormat="1" ht="75" x14ac:dyDescent="0.2">
      <c r="A886" s="7">
        <v>48</v>
      </c>
      <c r="B886" s="38">
        <v>44962</v>
      </c>
      <c r="C886" s="9" t="s">
        <v>635</v>
      </c>
      <c r="D886" s="9" t="s">
        <v>594</v>
      </c>
      <c r="E886" s="9" t="s">
        <v>885</v>
      </c>
      <c r="F886" s="9" t="s">
        <v>886</v>
      </c>
      <c r="G886" s="54">
        <v>4320</v>
      </c>
      <c r="H886" s="54">
        <v>0</v>
      </c>
      <c r="I886" s="54">
        <f t="shared" si="38"/>
        <v>4320</v>
      </c>
      <c r="J886" s="58" t="e">
        <f>+#REF!+#REF!+#REF!+#REF!</f>
        <v>#REF!</v>
      </c>
      <c r="K886" s="8"/>
    </row>
    <row r="887" spans="1:11" s="1" customFormat="1" ht="45" x14ac:dyDescent="0.2">
      <c r="A887" s="7">
        <v>49</v>
      </c>
      <c r="B887" s="38">
        <v>44966</v>
      </c>
      <c r="C887" s="9" t="s">
        <v>944</v>
      </c>
      <c r="D887" s="9" t="s">
        <v>594</v>
      </c>
      <c r="E887" s="9" t="s">
        <v>947</v>
      </c>
      <c r="F887" s="9" t="s">
        <v>367</v>
      </c>
      <c r="G887" s="54">
        <v>6070</v>
      </c>
      <c r="H887" s="54">
        <v>0</v>
      </c>
      <c r="I887" s="54">
        <f t="shared" si="38"/>
        <v>6070</v>
      </c>
      <c r="J887" s="58" t="e">
        <f>+#REF!+#REF!+#REF!+#REF!</f>
        <v>#REF!</v>
      </c>
      <c r="K887" s="8">
        <v>44993</v>
      </c>
    </row>
    <row r="888" spans="1:11" s="1" customFormat="1" ht="60" x14ac:dyDescent="0.2">
      <c r="A888" s="7">
        <v>50</v>
      </c>
      <c r="B888" s="38">
        <v>44966</v>
      </c>
      <c r="C888" s="9" t="s">
        <v>945</v>
      </c>
      <c r="D888" s="9" t="s">
        <v>594</v>
      </c>
      <c r="E888" s="9" t="s">
        <v>948</v>
      </c>
      <c r="F888" s="9" t="s">
        <v>367</v>
      </c>
      <c r="G888" s="54">
        <v>8802</v>
      </c>
      <c r="H888" s="54">
        <v>0</v>
      </c>
      <c r="I888" s="54">
        <f t="shared" si="38"/>
        <v>8802</v>
      </c>
      <c r="J888" s="58" t="e">
        <f>+#REF!+#REF!+#REF!+#REF!</f>
        <v>#REF!</v>
      </c>
      <c r="K888" s="8">
        <v>44993</v>
      </c>
    </row>
    <row r="889" spans="1:11" s="1" customFormat="1" ht="45" x14ac:dyDescent="0.2">
      <c r="A889" s="7">
        <v>51</v>
      </c>
      <c r="B889" s="38">
        <v>44966</v>
      </c>
      <c r="C889" s="9" t="s">
        <v>946</v>
      </c>
      <c r="D889" s="9" t="s">
        <v>594</v>
      </c>
      <c r="E889" s="9" t="s">
        <v>949</v>
      </c>
      <c r="F889" s="9" t="s">
        <v>367</v>
      </c>
      <c r="G889" s="54">
        <v>6362</v>
      </c>
      <c r="H889" s="54">
        <v>0</v>
      </c>
      <c r="I889" s="54">
        <f t="shared" si="38"/>
        <v>6362</v>
      </c>
      <c r="J889" s="58" t="e">
        <f>+#REF!+#REF!+#REF!+#REF!</f>
        <v>#REF!</v>
      </c>
      <c r="K889" s="8">
        <v>44993</v>
      </c>
    </row>
    <row r="890" spans="1:11" s="1" customFormat="1" ht="30" x14ac:dyDescent="0.2">
      <c r="A890" s="7">
        <v>52</v>
      </c>
      <c r="B890" s="38">
        <v>44966</v>
      </c>
      <c r="C890" s="9"/>
      <c r="D890" s="9" t="s">
        <v>594</v>
      </c>
      <c r="E890" s="9" t="s">
        <v>990</v>
      </c>
      <c r="F890" s="9" t="s">
        <v>367</v>
      </c>
      <c r="G890" s="54">
        <v>182</v>
      </c>
      <c r="H890" s="54">
        <v>0</v>
      </c>
      <c r="I890" s="54">
        <f t="shared" si="38"/>
        <v>182</v>
      </c>
      <c r="J890" s="58" t="e">
        <f>+#REF!+#REF!+#REF!+#REF!</f>
        <v>#REF!</v>
      </c>
      <c r="K890" s="8">
        <v>44993</v>
      </c>
    </row>
    <row r="891" spans="1:11" s="1" customFormat="1" ht="60" x14ac:dyDescent="0.2">
      <c r="A891" s="7">
        <v>53</v>
      </c>
      <c r="B891" s="38">
        <v>44968</v>
      </c>
      <c r="C891" s="9" t="s">
        <v>635</v>
      </c>
      <c r="D891" s="9" t="s">
        <v>594</v>
      </c>
      <c r="E891" s="9" t="s">
        <v>887</v>
      </c>
      <c r="F891" s="9" t="s">
        <v>888</v>
      </c>
      <c r="G891" s="54">
        <v>1320</v>
      </c>
      <c r="H891" s="54">
        <v>0</v>
      </c>
      <c r="I891" s="54">
        <f t="shared" si="38"/>
        <v>1320</v>
      </c>
      <c r="J891" s="58" t="e">
        <f>+#REF!+#REF!+#REF!+#REF!</f>
        <v>#REF!</v>
      </c>
      <c r="K891" s="8"/>
    </row>
    <row r="892" spans="1:11" s="1" customFormat="1" ht="60" x14ac:dyDescent="0.2">
      <c r="A892" s="7">
        <v>54</v>
      </c>
      <c r="B892" s="38">
        <v>44977</v>
      </c>
      <c r="C892" s="9" t="s">
        <v>635</v>
      </c>
      <c r="D892" s="9" t="s">
        <v>594</v>
      </c>
      <c r="E892" s="9" t="s">
        <v>916</v>
      </c>
      <c r="F892" s="9" t="s">
        <v>605</v>
      </c>
      <c r="G892" s="54">
        <v>5000</v>
      </c>
      <c r="H892" s="54">
        <v>0</v>
      </c>
      <c r="I892" s="54">
        <f t="shared" si="38"/>
        <v>5000</v>
      </c>
      <c r="J892" s="58" t="e">
        <f>+#REF!+#REF!+#REF!+#REF!</f>
        <v>#REF!</v>
      </c>
      <c r="K892" s="38">
        <v>44977</v>
      </c>
    </row>
    <row r="893" spans="1:11" s="1" customFormat="1" ht="45" x14ac:dyDescent="0.2">
      <c r="A893" s="7">
        <v>55</v>
      </c>
      <c r="B893" s="38">
        <v>44977</v>
      </c>
      <c r="C893" s="9" t="s">
        <v>635</v>
      </c>
      <c r="D893" s="9" t="s">
        <v>594</v>
      </c>
      <c r="E893" s="9" t="s">
        <v>917</v>
      </c>
      <c r="F893" s="9" t="s">
        <v>918</v>
      </c>
      <c r="G893" s="54">
        <v>2330</v>
      </c>
      <c r="H893" s="54">
        <v>0</v>
      </c>
      <c r="I893" s="54">
        <f t="shared" si="38"/>
        <v>2330</v>
      </c>
      <c r="J893" s="58" t="e">
        <f>+#REF!+#REF!+#REF!+#REF!</f>
        <v>#REF!</v>
      </c>
      <c r="K893" s="38">
        <v>44977</v>
      </c>
    </row>
    <row r="894" spans="1:11" s="1" customFormat="1" ht="75" x14ac:dyDescent="0.2">
      <c r="A894" s="7">
        <v>56</v>
      </c>
      <c r="B894" s="38">
        <v>44978</v>
      </c>
      <c r="C894" s="9" t="s">
        <v>635</v>
      </c>
      <c r="D894" s="9" t="s">
        <v>594</v>
      </c>
      <c r="E894" s="9" t="s">
        <v>919</v>
      </c>
      <c r="F894" s="9" t="s">
        <v>587</v>
      </c>
      <c r="G894" s="54">
        <v>2840</v>
      </c>
      <c r="H894" s="54">
        <v>0</v>
      </c>
      <c r="I894" s="54">
        <f t="shared" si="38"/>
        <v>2840</v>
      </c>
      <c r="J894" s="58" t="e">
        <f>+#REF!+#REF!+#REF!+#REF!</f>
        <v>#REF!</v>
      </c>
      <c r="K894" s="38">
        <v>44978</v>
      </c>
    </row>
    <row r="895" spans="1:11" s="1" customFormat="1" ht="45" x14ac:dyDescent="0.2">
      <c r="A895" s="7">
        <v>57</v>
      </c>
      <c r="B895" s="38">
        <v>44982</v>
      </c>
      <c r="C895" s="9" t="s">
        <v>635</v>
      </c>
      <c r="D895" s="9" t="s">
        <v>594</v>
      </c>
      <c r="E895" s="9" t="s">
        <v>920</v>
      </c>
      <c r="F895" s="9" t="s">
        <v>379</v>
      </c>
      <c r="G895" s="54">
        <v>6160</v>
      </c>
      <c r="H895" s="54">
        <v>0</v>
      </c>
      <c r="I895" s="54">
        <f t="shared" si="38"/>
        <v>6160</v>
      </c>
      <c r="J895" s="58" t="e">
        <f>+#REF!+#REF!+#REF!+#REF!</f>
        <v>#REF!</v>
      </c>
      <c r="K895" s="38">
        <v>44982</v>
      </c>
    </row>
    <row r="896" spans="1:11" s="1" customFormat="1" ht="75" x14ac:dyDescent="0.2">
      <c r="A896" s="7">
        <v>58</v>
      </c>
      <c r="B896" s="38">
        <v>44983</v>
      </c>
      <c r="C896" s="9">
        <v>544</v>
      </c>
      <c r="D896" s="9" t="s">
        <v>594</v>
      </c>
      <c r="E896" s="9" t="s">
        <v>950</v>
      </c>
      <c r="F896" s="9" t="s">
        <v>587</v>
      </c>
      <c r="G896" s="54">
        <v>36080</v>
      </c>
      <c r="H896" s="54">
        <v>0</v>
      </c>
      <c r="I896" s="54">
        <f t="shared" si="38"/>
        <v>36080</v>
      </c>
      <c r="J896" s="58" t="e">
        <f>+#REF!+#REF!+#REF!+#REF!</f>
        <v>#REF!</v>
      </c>
      <c r="K896" s="8">
        <v>44984</v>
      </c>
    </row>
    <row r="897" spans="1:11" s="1" customFormat="1" ht="75" x14ac:dyDescent="0.2">
      <c r="A897" s="7">
        <v>59</v>
      </c>
      <c r="B897" s="38">
        <v>44983</v>
      </c>
      <c r="C897" s="9">
        <v>545</v>
      </c>
      <c r="D897" s="9" t="s">
        <v>594</v>
      </c>
      <c r="E897" s="9" t="s">
        <v>951</v>
      </c>
      <c r="F897" s="9" t="s">
        <v>587</v>
      </c>
      <c r="G897" s="54">
        <v>39080</v>
      </c>
      <c r="H897" s="54">
        <v>0</v>
      </c>
      <c r="I897" s="54">
        <f t="shared" si="38"/>
        <v>39080</v>
      </c>
      <c r="J897" s="58" t="e">
        <f>+#REF!+#REF!+#REF!+#REF!</f>
        <v>#REF!</v>
      </c>
      <c r="K897" s="8">
        <v>44984</v>
      </c>
    </row>
    <row r="898" spans="1:11" s="1" customFormat="1" ht="45" x14ac:dyDescent="0.2">
      <c r="A898" s="7">
        <v>60</v>
      </c>
      <c r="B898" s="38">
        <v>44986</v>
      </c>
      <c r="C898" s="9" t="s">
        <v>1048</v>
      </c>
      <c r="D898" s="9" t="s">
        <v>594</v>
      </c>
      <c r="E898" s="9" t="s">
        <v>1049</v>
      </c>
      <c r="F898" s="9" t="s">
        <v>1050</v>
      </c>
      <c r="G898" s="54">
        <f>5495+269+269</f>
        <v>6033</v>
      </c>
      <c r="H898" s="54">
        <v>0</v>
      </c>
      <c r="I898" s="54">
        <f t="shared" si="38"/>
        <v>6033</v>
      </c>
      <c r="J898" s="58" t="e">
        <f>+#REF!+#REF!+#REF!+#REF!</f>
        <v>#REF!</v>
      </c>
      <c r="K898" s="8">
        <v>45001</v>
      </c>
    </row>
    <row r="899" spans="1:11" s="1" customFormat="1" ht="60" x14ac:dyDescent="0.2">
      <c r="A899" s="7">
        <v>61</v>
      </c>
      <c r="B899" s="38">
        <v>45000</v>
      </c>
      <c r="C899" s="9" t="s">
        <v>1114</v>
      </c>
      <c r="D899" s="9" t="s">
        <v>594</v>
      </c>
      <c r="E899" s="9" t="s">
        <v>1115</v>
      </c>
      <c r="F899" s="9" t="s">
        <v>367</v>
      </c>
      <c r="G899" s="54">
        <f>8866+23+23</f>
        <v>8912</v>
      </c>
      <c r="H899" s="54">
        <v>0</v>
      </c>
      <c r="I899" s="54">
        <f t="shared" si="38"/>
        <v>8912</v>
      </c>
      <c r="J899" s="58" t="e">
        <f>+#REF!+#REF!+#REF!+#REF!</f>
        <v>#REF!</v>
      </c>
      <c r="K899" s="8">
        <v>45006</v>
      </c>
    </row>
    <row r="900" spans="1:11" s="1" customFormat="1" ht="30" x14ac:dyDescent="0.2">
      <c r="A900" s="7">
        <v>62</v>
      </c>
      <c r="B900" s="38">
        <v>45001</v>
      </c>
      <c r="C900" s="9" t="s">
        <v>476</v>
      </c>
      <c r="D900" s="9" t="s">
        <v>594</v>
      </c>
      <c r="E900" s="9" t="s">
        <v>1117</v>
      </c>
      <c r="F900" s="9" t="s">
        <v>1116</v>
      </c>
      <c r="G900" s="54">
        <v>600</v>
      </c>
      <c r="H900" s="54">
        <v>0</v>
      </c>
      <c r="I900" s="54">
        <f t="shared" si="38"/>
        <v>600</v>
      </c>
      <c r="J900" s="58" t="e">
        <f>+#REF!+#REF!+#REF!+#REF!</f>
        <v>#REF!</v>
      </c>
      <c r="K900" s="38">
        <v>45001</v>
      </c>
    </row>
    <row r="901" spans="1:11" s="1" customFormat="1" ht="60" x14ac:dyDescent="0.2">
      <c r="A901" s="7">
        <v>63</v>
      </c>
      <c r="B901" s="38">
        <v>45006</v>
      </c>
      <c r="C901" s="9" t="s">
        <v>476</v>
      </c>
      <c r="D901" s="9" t="s">
        <v>594</v>
      </c>
      <c r="E901" s="9" t="s">
        <v>1118</v>
      </c>
      <c r="F901" s="9" t="s">
        <v>587</v>
      </c>
      <c r="G901" s="54">
        <v>1500</v>
      </c>
      <c r="H901" s="54">
        <v>0</v>
      </c>
      <c r="I901" s="54">
        <f t="shared" si="38"/>
        <v>1500</v>
      </c>
      <c r="J901" s="58" t="e">
        <f>+#REF!+#REF!+#REF!+#REF!</f>
        <v>#REF!</v>
      </c>
      <c r="K901" s="38">
        <v>45006</v>
      </c>
    </row>
    <row r="902" spans="1:11" s="1" customFormat="1" ht="60" x14ac:dyDescent="0.2">
      <c r="A902" s="7">
        <v>64</v>
      </c>
      <c r="B902" s="38">
        <v>45012</v>
      </c>
      <c r="C902" s="9">
        <v>551</v>
      </c>
      <c r="D902" s="9" t="s">
        <v>594</v>
      </c>
      <c r="E902" s="9" t="s">
        <v>1119</v>
      </c>
      <c r="F902" s="9" t="s">
        <v>587</v>
      </c>
      <c r="G902" s="54">
        <v>11313</v>
      </c>
      <c r="H902" s="54">
        <v>0</v>
      </c>
      <c r="I902" s="54">
        <f t="shared" si="38"/>
        <v>11313</v>
      </c>
      <c r="J902" s="58" t="e">
        <f>+#REF!+#REF!+#REF!+#REF!</f>
        <v>#REF!</v>
      </c>
      <c r="K902" s="38">
        <v>45012</v>
      </c>
    </row>
    <row r="903" spans="1:11" s="1" customFormat="1" ht="60" x14ac:dyDescent="0.2">
      <c r="A903" s="7">
        <v>65</v>
      </c>
      <c r="B903" s="38">
        <v>45035</v>
      </c>
      <c r="C903" s="9" t="s">
        <v>476</v>
      </c>
      <c r="D903" s="9" t="s">
        <v>594</v>
      </c>
      <c r="E903" s="9" t="s">
        <v>1145</v>
      </c>
      <c r="F903" s="9" t="s">
        <v>1146</v>
      </c>
      <c r="G903" s="54">
        <v>4400</v>
      </c>
      <c r="H903" s="54">
        <v>0</v>
      </c>
      <c r="I903" s="54">
        <f t="shared" ref="I903:I989" si="39">+G903+H903</f>
        <v>4400</v>
      </c>
      <c r="J903" s="58" t="e">
        <f>+#REF!+#REF!+#REF!+#REF!</f>
        <v>#REF!</v>
      </c>
      <c r="K903" s="38">
        <v>45035</v>
      </c>
    </row>
    <row r="904" spans="1:11" s="1" customFormat="1" ht="45" x14ac:dyDescent="0.2">
      <c r="A904" s="7">
        <v>66</v>
      </c>
      <c r="B904" s="38">
        <v>45039</v>
      </c>
      <c r="C904" s="9" t="s">
        <v>476</v>
      </c>
      <c r="D904" s="9" t="s">
        <v>594</v>
      </c>
      <c r="E904" s="9" t="s">
        <v>1410</v>
      </c>
      <c r="F904" s="9" t="s">
        <v>1411</v>
      </c>
      <c r="G904" s="54">
        <v>7960</v>
      </c>
      <c r="H904" s="54">
        <v>0</v>
      </c>
      <c r="I904" s="54">
        <f t="shared" si="39"/>
        <v>7960</v>
      </c>
      <c r="J904" s="58" t="e">
        <f>+#REF!+#REF!+#REF!+#REF!</f>
        <v>#REF!</v>
      </c>
      <c r="K904" s="8">
        <v>45039</v>
      </c>
    </row>
    <row r="905" spans="1:11" s="1" customFormat="1" ht="30" x14ac:dyDescent="0.2">
      <c r="A905" s="7">
        <v>67</v>
      </c>
      <c r="B905" s="38">
        <v>45040</v>
      </c>
      <c r="C905" s="9" t="s">
        <v>476</v>
      </c>
      <c r="D905" s="9" t="s">
        <v>594</v>
      </c>
      <c r="E905" s="9" t="s">
        <v>1412</v>
      </c>
      <c r="F905" s="9" t="s">
        <v>1413</v>
      </c>
      <c r="G905" s="54">
        <v>2300</v>
      </c>
      <c r="H905" s="54">
        <v>0</v>
      </c>
      <c r="I905" s="54">
        <f t="shared" si="39"/>
        <v>2300</v>
      </c>
      <c r="J905" s="58" t="e">
        <f>+#REF!+#REF!+#REF!+#REF!</f>
        <v>#REF!</v>
      </c>
      <c r="K905" s="38">
        <v>45040</v>
      </c>
    </row>
    <row r="906" spans="1:11" s="1" customFormat="1" ht="45" x14ac:dyDescent="0.2">
      <c r="A906" s="7">
        <v>68</v>
      </c>
      <c r="B906" s="38">
        <v>45048</v>
      </c>
      <c r="C906" s="9" t="s">
        <v>476</v>
      </c>
      <c r="D906" s="9" t="s">
        <v>594</v>
      </c>
      <c r="E906" s="9" t="s">
        <v>1423</v>
      </c>
      <c r="F906" s="9" t="s">
        <v>1424</v>
      </c>
      <c r="G906" s="54">
        <v>2691</v>
      </c>
      <c r="H906" s="54">
        <v>0</v>
      </c>
      <c r="I906" s="54">
        <f t="shared" si="39"/>
        <v>2691</v>
      </c>
      <c r="J906" s="58" t="e">
        <f>+#REF!+#REF!+#REF!+#REF!</f>
        <v>#REF!</v>
      </c>
      <c r="K906" s="8">
        <v>45048</v>
      </c>
    </row>
    <row r="907" spans="1:11" s="1" customFormat="1" ht="45" x14ac:dyDescent="0.2">
      <c r="A907" s="7">
        <v>69</v>
      </c>
      <c r="B907" s="38">
        <v>45048</v>
      </c>
      <c r="C907" s="9" t="s">
        <v>476</v>
      </c>
      <c r="D907" s="9" t="s">
        <v>594</v>
      </c>
      <c r="E907" s="9" t="s">
        <v>1425</v>
      </c>
      <c r="F907" s="9" t="s">
        <v>604</v>
      </c>
      <c r="G907" s="54">
        <v>6660</v>
      </c>
      <c r="H907" s="54">
        <v>0</v>
      </c>
      <c r="I907" s="54">
        <f t="shared" si="39"/>
        <v>6660</v>
      </c>
      <c r="J907" s="58" t="e">
        <f>+#REF!+#REF!+#REF!+#REF!</f>
        <v>#REF!</v>
      </c>
      <c r="K907" s="38">
        <v>45048</v>
      </c>
    </row>
    <row r="908" spans="1:11" s="1" customFormat="1" ht="30" x14ac:dyDescent="0.2">
      <c r="A908" s="7">
        <v>70</v>
      </c>
      <c r="B908" s="38">
        <v>45055</v>
      </c>
      <c r="C908" s="9" t="s">
        <v>476</v>
      </c>
      <c r="D908" s="9" t="s">
        <v>594</v>
      </c>
      <c r="E908" s="9" t="s">
        <v>1513</v>
      </c>
      <c r="F908" s="9" t="s">
        <v>594</v>
      </c>
      <c r="G908" s="54">
        <v>3340</v>
      </c>
      <c r="H908" s="54">
        <v>0</v>
      </c>
      <c r="I908" s="54">
        <f t="shared" si="39"/>
        <v>3340</v>
      </c>
      <c r="J908" s="58" t="e">
        <f>+#REF!+#REF!+#REF!+#REF!</f>
        <v>#REF!</v>
      </c>
      <c r="K908" s="8"/>
    </row>
    <row r="909" spans="1:11" s="1" customFormat="1" ht="90" x14ac:dyDescent="0.2">
      <c r="A909" s="7">
        <v>71</v>
      </c>
      <c r="B909" s="38">
        <v>45057</v>
      </c>
      <c r="C909" s="9" t="s">
        <v>476</v>
      </c>
      <c r="D909" s="9" t="s">
        <v>594</v>
      </c>
      <c r="E909" s="9" t="s">
        <v>1514</v>
      </c>
      <c r="F909" s="9" t="s">
        <v>1515</v>
      </c>
      <c r="G909" s="54">
        <v>10000</v>
      </c>
      <c r="H909" s="54">
        <v>0</v>
      </c>
      <c r="I909" s="54">
        <f t="shared" si="39"/>
        <v>10000</v>
      </c>
      <c r="J909" s="58" t="e">
        <f>+#REF!+#REF!+#REF!+#REF!</f>
        <v>#REF!</v>
      </c>
      <c r="K909" s="38">
        <v>45057</v>
      </c>
    </row>
    <row r="910" spans="1:11" s="1" customFormat="1" ht="90" x14ac:dyDescent="0.2">
      <c r="A910" s="7">
        <v>72</v>
      </c>
      <c r="B910" s="38">
        <v>45058</v>
      </c>
      <c r="C910" s="9" t="s">
        <v>476</v>
      </c>
      <c r="D910" s="9" t="s">
        <v>594</v>
      </c>
      <c r="E910" s="9" t="s">
        <v>1514</v>
      </c>
      <c r="F910" s="9" t="s">
        <v>1515</v>
      </c>
      <c r="G910" s="54">
        <v>2400</v>
      </c>
      <c r="H910" s="54">
        <v>0</v>
      </c>
      <c r="I910" s="54">
        <f t="shared" si="39"/>
        <v>2400</v>
      </c>
      <c r="J910" s="58" t="e">
        <f>+#REF!+#REF!+#REF!+#REF!</f>
        <v>#REF!</v>
      </c>
      <c r="K910" s="38">
        <v>45058</v>
      </c>
    </row>
    <row r="911" spans="1:11" s="1" customFormat="1" ht="60" x14ac:dyDescent="0.2">
      <c r="A911" s="7">
        <v>73</v>
      </c>
      <c r="B911" s="38">
        <v>45061</v>
      </c>
      <c r="C911" s="9" t="s">
        <v>476</v>
      </c>
      <c r="D911" s="9" t="s">
        <v>594</v>
      </c>
      <c r="E911" s="9" t="s">
        <v>1538</v>
      </c>
      <c r="F911" s="9" t="s">
        <v>594</v>
      </c>
      <c r="G911" s="54">
        <v>6000</v>
      </c>
      <c r="H911" s="54">
        <v>0</v>
      </c>
      <c r="I911" s="54">
        <f t="shared" si="39"/>
        <v>6000</v>
      </c>
      <c r="J911" s="58" t="e">
        <f>+#REF!+#REF!+#REF!+#REF!</f>
        <v>#REF!</v>
      </c>
      <c r="K911" s="8"/>
    </row>
    <row r="912" spans="1:11" s="1" customFormat="1" ht="60" x14ac:dyDescent="0.2">
      <c r="A912" s="7">
        <v>74</v>
      </c>
      <c r="B912" s="38">
        <v>45064</v>
      </c>
      <c r="C912" s="9" t="s">
        <v>476</v>
      </c>
      <c r="D912" s="9" t="s">
        <v>594</v>
      </c>
      <c r="E912" s="9" t="s">
        <v>1539</v>
      </c>
      <c r="F912" s="9" t="s">
        <v>594</v>
      </c>
      <c r="G912" s="54">
        <v>1867</v>
      </c>
      <c r="H912" s="54">
        <v>0</v>
      </c>
      <c r="I912" s="54">
        <f t="shared" si="39"/>
        <v>1867</v>
      </c>
      <c r="J912" s="58" t="e">
        <f>+#REF!+#REF!+#REF!+#REF!</f>
        <v>#REF!</v>
      </c>
      <c r="K912" s="8"/>
    </row>
    <row r="913" spans="1:11" s="1" customFormat="1" ht="75" x14ac:dyDescent="0.2">
      <c r="A913" s="7">
        <v>75</v>
      </c>
      <c r="B913" s="38">
        <v>45071</v>
      </c>
      <c r="C913" s="9" t="s">
        <v>476</v>
      </c>
      <c r="D913" s="9" t="s">
        <v>594</v>
      </c>
      <c r="E913" s="9" t="s">
        <v>1540</v>
      </c>
      <c r="F913" s="9" t="s">
        <v>587</v>
      </c>
      <c r="G913" s="54">
        <v>7200</v>
      </c>
      <c r="H913" s="54">
        <v>0</v>
      </c>
      <c r="I913" s="54">
        <f t="shared" si="39"/>
        <v>7200</v>
      </c>
      <c r="J913" s="58" t="e">
        <f>+#REF!+#REF!+#REF!+#REF!</f>
        <v>#REF!</v>
      </c>
      <c r="K913" s="38">
        <v>45071</v>
      </c>
    </row>
    <row r="914" spans="1:11" s="1" customFormat="1" ht="75" x14ac:dyDescent="0.2">
      <c r="A914" s="7">
        <v>76</v>
      </c>
      <c r="B914" s="38">
        <v>45073</v>
      </c>
      <c r="C914" s="9" t="s">
        <v>476</v>
      </c>
      <c r="D914" s="9" t="s">
        <v>594</v>
      </c>
      <c r="E914" s="9" t="s">
        <v>1541</v>
      </c>
      <c r="F914" s="9" t="s">
        <v>587</v>
      </c>
      <c r="G914" s="54">
        <v>3600</v>
      </c>
      <c r="H914" s="54">
        <v>0</v>
      </c>
      <c r="I914" s="54">
        <f t="shared" si="39"/>
        <v>3600</v>
      </c>
      <c r="J914" s="58" t="e">
        <f>+#REF!+#REF!+#REF!+#REF!</f>
        <v>#REF!</v>
      </c>
      <c r="K914" s="38">
        <v>45073</v>
      </c>
    </row>
    <row r="915" spans="1:11" s="1" customFormat="1" ht="60" x14ac:dyDescent="0.2">
      <c r="A915" s="7">
        <v>77</v>
      </c>
      <c r="B915" s="38">
        <v>45076</v>
      </c>
      <c r="C915" s="9" t="s">
        <v>476</v>
      </c>
      <c r="D915" s="9" t="s">
        <v>594</v>
      </c>
      <c r="E915" s="9" t="s">
        <v>1635</v>
      </c>
      <c r="F915" s="9" t="s">
        <v>594</v>
      </c>
      <c r="G915" s="54">
        <v>1499</v>
      </c>
      <c r="H915" s="54">
        <v>0</v>
      </c>
      <c r="I915" s="54">
        <f t="shared" si="39"/>
        <v>1499</v>
      </c>
      <c r="J915" s="58" t="e">
        <f>+#REF!+#REF!+#REF!+#REF!</f>
        <v>#REF!</v>
      </c>
      <c r="K915" s="8"/>
    </row>
    <row r="916" spans="1:11" s="1" customFormat="1" ht="60" x14ac:dyDescent="0.2">
      <c r="A916" s="7">
        <v>78</v>
      </c>
      <c r="B916" s="38">
        <v>45096</v>
      </c>
      <c r="C916" s="9" t="s">
        <v>476</v>
      </c>
      <c r="D916" s="9" t="s">
        <v>594</v>
      </c>
      <c r="E916" s="9" t="s">
        <v>1734</v>
      </c>
      <c r="F916" s="9" t="s">
        <v>594</v>
      </c>
      <c r="G916" s="54">
        <v>1370</v>
      </c>
      <c r="H916" s="54">
        <v>0</v>
      </c>
      <c r="I916" s="54">
        <f t="shared" si="39"/>
        <v>1370</v>
      </c>
      <c r="J916" s="58" t="e">
        <f>+#REF!+#REF!+#REF!+#REF!</f>
        <v>#REF!</v>
      </c>
      <c r="K916" s="8"/>
    </row>
    <row r="917" spans="1:11" s="1" customFormat="1" ht="75" x14ac:dyDescent="0.2">
      <c r="A917" s="7">
        <v>79</v>
      </c>
      <c r="B917" s="38">
        <v>45099</v>
      </c>
      <c r="C917" s="9" t="s">
        <v>476</v>
      </c>
      <c r="D917" s="9" t="s">
        <v>594</v>
      </c>
      <c r="E917" s="9" t="s">
        <v>1735</v>
      </c>
      <c r="F917" s="9" t="s">
        <v>594</v>
      </c>
      <c r="G917" s="54">
        <v>8360</v>
      </c>
      <c r="H917" s="54">
        <v>0</v>
      </c>
      <c r="I917" s="54">
        <f t="shared" si="39"/>
        <v>8360</v>
      </c>
      <c r="J917" s="58" t="e">
        <f>+#REF!+#REF!+#REF!+#REF!</f>
        <v>#REF!</v>
      </c>
      <c r="K917" s="8"/>
    </row>
    <row r="918" spans="1:11" s="1" customFormat="1" ht="90" x14ac:dyDescent="0.2">
      <c r="A918" s="7">
        <v>80</v>
      </c>
      <c r="B918" s="38">
        <v>45101</v>
      </c>
      <c r="C918" s="9" t="s">
        <v>476</v>
      </c>
      <c r="D918" s="9" t="s">
        <v>594</v>
      </c>
      <c r="E918" s="9" t="s">
        <v>1736</v>
      </c>
      <c r="F918" s="9" t="s">
        <v>1737</v>
      </c>
      <c r="G918" s="54">
        <v>4240</v>
      </c>
      <c r="H918" s="54">
        <v>0</v>
      </c>
      <c r="I918" s="54">
        <f t="shared" si="39"/>
        <v>4240</v>
      </c>
      <c r="J918" s="58" t="e">
        <f>+#REF!+#REF!+#REF!+#REF!</f>
        <v>#REF!</v>
      </c>
      <c r="K918" s="8">
        <v>45101</v>
      </c>
    </row>
    <row r="919" spans="1:11" s="1" customFormat="1" ht="90" x14ac:dyDescent="0.2">
      <c r="A919" s="7">
        <v>81</v>
      </c>
      <c r="B919" s="38">
        <v>45102</v>
      </c>
      <c r="C919" s="9" t="s">
        <v>476</v>
      </c>
      <c r="D919" s="9" t="s">
        <v>594</v>
      </c>
      <c r="E919" s="9" t="s">
        <v>1736</v>
      </c>
      <c r="F919" s="9" t="s">
        <v>1738</v>
      </c>
      <c r="G919" s="54">
        <v>10000</v>
      </c>
      <c r="H919" s="54">
        <v>0</v>
      </c>
      <c r="I919" s="54">
        <f t="shared" si="39"/>
        <v>10000</v>
      </c>
      <c r="J919" s="58" t="e">
        <f>+#REF!+#REF!+#REF!+#REF!</f>
        <v>#REF!</v>
      </c>
      <c r="K919" s="8">
        <v>45102</v>
      </c>
    </row>
    <row r="920" spans="1:11" s="1" customFormat="1" ht="60" x14ac:dyDescent="0.2">
      <c r="A920" s="7">
        <v>82</v>
      </c>
      <c r="B920" s="38">
        <v>45107</v>
      </c>
      <c r="C920" s="9" t="s">
        <v>476</v>
      </c>
      <c r="D920" s="9" t="s">
        <v>594</v>
      </c>
      <c r="E920" s="9" t="s">
        <v>1739</v>
      </c>
      <c r="F920" s="9" t="s">
        <v>594</v>
      </c>
      <c r="G920" s="54">
        <v>2060</v>
      </c>
      <c r="H920" s="54">
        <v>0</v>
      </c>
      <c r="I920" s="54">
        <f t="shared" si="39"/>
        <v>2060</v>
      </c>
      <c r="J920" s="58" t="e">
        <f>+#REF!+#REF!+#REF!+#REF!</f>
        <v>#REF!</v>
      </c>
      <c r="K920" s="8"/>
    </row>
    <row r="921" spans="1:11" s="1" customFormat="1" ht="45" x14ac:dyDescent="0.2">
      <c r="A921" s="7">
        <v>83</v>
      </c>
      <c r="B921" s="38">
        <v>45110</v>
      </c>
      <c r="C921" s="9" t="s">
        <v>476</v>
      </c>
      <c r="D921" s="9" t="s">
        <v>594</v>
      </c>
      <c r="E921" s="9" t="s">
        <v>1759</v>
      </c>
      <c r="F921" s="9" t="s">
        <v>587</v>
      </c>
      <c r="G921" s="54">
        <v>7200</v>
      </c>
      <c r="H921" s="54">
        <v>0</v>
      </c>
      <c r="I921" s="54">
        <f t="shared" si="39"/>
        <v>7200</v>
      </c>
      <c r="J921" s="58" t="e">
        <f>+#REF!+#REF!+#REF!+#REF!</f>
        <v>#REF!</v>
      </c>
      <c r="K921" s="38">
        <v>45110</v>
      </c>
    </row>
    <row r="922" spans="1:11" s="1" customFormat="1" ht="45" x14ac:dyDescent="0.2">
      <c r="A922" s="7">
        <v>84</v>
      </c>
      <c r="B922" s="38">
        <v>45110</v>
      </c>
      <c r="C922" s="9" t="s">
        <v>476</v>
      </c>
      <c r="D922" s="9" t="s">
        <v>594</v>
      </c>
      <c r="E922" s="9" t="s">
        <v>1760</v>
      </c>
      <c r="F922" s="9" t="s">
        <v>587</v>
      </c>
      <c r="G922" s="54">
        <v>10000</v>
      </c>
      <c r="H922" s="54">
        <v>0</v>
      </c>
      <c r="I922" s="54">
        <f t="shared" si="39"/>
        <v>10000</v>
      </c>
      <c r="J922" s="58" t="e">
        <f>+#REF!+#REF!+#REF!+#REF!</f>
        <v>#REF!</v>
      </c>
      <c r="K922" s="38">
        <v>45110</v>
      </c>
    </row>
    <row r="923" spans="1:11" s="1" customFormat="1" ht="45" x14ac:dyDescent="0.2">
      <c r="A923" s="7">
        <v>85</v>
      </c>
      <c r="B923" s="38">
        <v>45111</v>
      </c>
      <c r="C923" s="9" t="s">
        <v>476</v>
      </c>
      <c r="D923" s="9" t="s">
        <v>594</v>
      </c>
      <c r="E923" s="9" t="s">
        <v>1761</v>
      </c>
      <c r="F923" s="9" t="s">
        <v>587</v>
      </c>
      <c r="G923" s="54">
        <v>6280</v>
      </c>
      <c r="H923" s="54">
        <v>0</v>
      </c>
      <c r="I923" s="54">
        <f t="shared" si="39"/>
        <v>6280</v>
      </c>
      <c r="J923" s="58" t="e">
        <f>+#REF!+#REF!+#REF!+#REF!</f>
        <v>#REF!</v>
      </c>
      <c r="K923" s="38">
        <v>45111</v>
      </c>
    </row>
    <row r="924" spans="1:11" s="1" customFormat="1" ht="60" x14ac:dyDescent="0.2">
      <c r="A924" s="7">
        <v>86</v>
      </c>
      <c r="B924" s="38">
        <v>45141</v>
      </c>
      <c r="C924" s="9" t="s">
        <v>476</v>
      </c>
      <c r="D924" s="9" t="s">
        <v>594</v>
      </c>
      <c r="E924" s="9" t="s">
        <v>1796</v>
      </c>
      <c r="F924" s="9" t="s">
        <v>587</v>
      </c>
      <c r="G924" s="54">
        <v>3000</v>
      </c>
      <c r="H924" s="54">
        <v>0</v>
      </c>
      <c r="I924" s="54">
        <f t="shared" si="39"/>
        <v>3000</v>
      </c>
      <c r="J924" s="58" t="e">
        <f>+#REF!+#REF!+#REF!+#REF!</f>
        <v>#REF!</v>
      </c>
      <c r="K924" s="38">
        <v>45141</v>
      </c>
    </row>
    <row r="925" spans="1:11" s="1" customFormat="1" ht="45" x14ac:dyDescent="0.2">
      <c r="A925" s="7">
        <v>87</v>
      </c>
      <c r="B925" s="38">
        <v>45145</v>
      </c>
      <c r="C925" s="9" t="s">
        <v>476</v>
      </c>
      <c r="D925" s="9" t="s">
        <v>594</v>
      </c>
      <c r="E925" s="9" t="s">
        <v>1797</v>
      </c>
      <c r="F925" s="9" t="s">
        <v>1798</v>
      </c>
      <c r="G925" s="54">
        <v>3520</v>
      </c>
      <c r="H925" s="54">
        <v>0</v>
      </c>
      <c r="I925" s="54">
        <f t="shared" si="39"/>
        <v>3520</v>
      </c>
      <c r="J925" s="58" t="e">
        <f>+#REF!+#REF!+#REF!+#REF!</f>
        <v>#REF!</v>
      </c>
      <c r="K925" s="8">
        <v>45145</v>
      </c>
    </row>
    <row r="926" spans="1:11" s="1" customFormat="1" ht="75" x14ac:dyDescent="0.2">
      <c r="A926" s="7">
        <v>88</v>
      </c>
      <c r="B926" s="38">
        <v>45145</v>
      </c>
      <c r="C926" s="9" t="s">
        <v>476</v>
      </c>
      <c r="D926" s="9" t="s">
        <v>594</v>
      </c>
      <c r="E926" s="9" t="s">
        <v>1799</v>
      </c>
      <c r="F926" s="9" t="s">
        <v>1800</v>
      </c>
      <c r="G926" s="54">
        <v>4930</v>
      </c>
      <c r="H926" s="54">
        <v>0</v>
      </c>
      <c r="I926" s="54">
        <f t="shared" si="39"/>
        <v>4930</v>
      </c>
      <c r="J926" s="58" t="e">
        <f>+#REF!+#REF!+#REF!+#REF!</f>
        <v>#REF!</v>
      </c>
      <c r="K926" s="8">
        <v>45145</v>
      </c>
    </row>
    <row r="927" spans="1:11" s="1" customFormat="1" ht="60" x14ac:dyDescent="0.2">
      <c r="A927" s="7">
        <v>89</v>
      </c>
      <c r="B927" s="38">
        <v>45146</v>
      </c>
      <c r="C927" s="9">
        <v>103</v>
      </c>
      <c r="D927" s="9" t="s">
        <v>594</v>
      </c>
      <c r="E927" s="9" t="s">
        <v>1801</v>
      </c>
      <c r="F927" s="9" t="s">
        <v>1802</v>
      </c>
      <c r="G927" s="54">
        <v>19500</v>
      </c>
      <c r="H927" s="54">
        <v>0</v>
      </c>
      <c r="I927" s="54">
        <f t="shared" si="39"/>
        <v>19500</v>
      </c>
      <c r="J927" s="58" t="e">
        <f>+#REF!+#REF!+#REF!+#REF!</f>
        <v>#REF!</v>
      </c>
      <c r="K927" s="38">
        <v>45146</v>
      </c>
    </row>
    <row r="928" spans="1:11" s="1" customFormat="1" ht="60" x14ac:dyDescent="0.2">
      <c r="A928" s="7">
        <v>90</v>
      </c>
      <c r="B928" s="38">
        <v>45146</v>
      </c>
      <c r="C928" s="9">
        <v>104</v>
      </c>
      <c r="D928" s="9" t="s">
        <v>594</v>
      </c>
      <c r="E928" s="9" t="s">
        <v>1803</v>
      </c>
      <c r="F928" s="9" t="s">
        <v>1802</v>
      </c>
      <c r="G928" s="54">
        <v>19500</v>
      </c>
      <c r="H928" s="54">
        <v>0</v>
      </c>
      <c r="I928" s="54">
        <f t="shared" si="39"/>
        <v>19500</v>
      </c>
      <c r="J928" s="58" t="e">
        <f>+#REF!+#REF!+#REF!+#REF!</f>
        <v>#REF!</v>
      </c>
      <c r="K928" s="38">
        <v>45146</v>
      </c>
    </row>
    <row r="929" spans="1:11" s="1" customFormat="1" ht="60" x14ac:dyDescent="0.2">
      <c r="A929" s="7">
        <v>91</v>
      </c>
      <c r="B929" s="38">
        <v>45148</v>
      </c>
      <c r="C929" s="9" t="s">
        <v>1836</v>
      </c>
      <c r="D929" s="9" t="s">
        <v>594</v>
      </c>
      <c r="E929" s="9" t="s">
        <v>1837</v>
      </c>
      <c r="F929" s="9" t="s">
        <v>367</v>
      </c>
      <c r="G929" s="54">
        <v>7888</v>
      </c>
      <c r="H929" s="54">
        <v>0</v>
      </c>
      <c r="I929" s="54">
        <f t="shared" si="39"/>
        <v>7888</v>
      </c>
      <c r="J929" s="58" t="e">
        <f>+#REF!+#REF!+#REF!+#REF!</f>
        <v>#REF!</v>
      </c>
      <c r="K929" s="8">
        <v>45169</v>
      </c>
    </row>
    <row r="930" spans="1:11" s="1" customFormat="1" ht="60" x14ac:dyDescent="0.2">
      <c r="A930" s="7">
        <v>92</v>
      </c>
      <c r="B930" s="38">
        <v>45148</v>
      </c>
      <c r="C930" s="9" t="s">
        <v>1838</v>
      </c>
      <c r="D930" s="9" t="s">
        <v>594</v>
      </c>
      <c r="E930" s="9" t="s">
        <v>1839</v>
      </c>
      <c r="F930" s="9" t="s">
        <v>367</v>
      </c>
      <c r="G930" s="54">
        <v>4378</v>
      </c>
      <c r="H930" s="54">
        <v>0</v>
      </c>
      <c r="I930" s="54">
        <f t="shared" si="39"/>
        <v>4378</v>
      </c>
      <c r="J930" s="58" t="e">
        <f>+#REF!+#REF!+#REF!+#REF!</f>
        <v>#REF!</v>
      </c>
      <c r="K930" s="8">
        <v>45169</v>
      </c>
    </row>
    <row r="931" spans="1:11" s="1" customFormat="1" ht="60" x14ac:dyDescent="0.2">
      <c r="A931" s="7">
        <v>93</v>
      </c>
      <c r="B931" s="38">
        <v>45152</v>
      </c>
      <c r="C931" s="9" t="s">
        <v>1840</v>
      </c>
      <c r="D931" s="9" t="s">
        <v>594</v>
      </c>
      <c r="E931" s="9" t="s">
        <v>1841</v>
      </c>
      <c r="F931" s="9" t="s">
        <v>367</v>
      </c>
      <c r="G931" s="54">
        <v>1577</v>
      </c>
      <c r="H931" s="54">
        <v>0</v>
      </c>
      <c r="I931" s="54">
        <f t="shared" si="39"/>
        <v>1577</v>
      </c>
      <c r="J931" s="58" t="e">
        <f>+#REF!+#REF!+#REF!+#REF!</f>
        <v>#REF!</v>
      </c>
      <c r="K931" s="8">
        <v>45169</v>
      </c>
    </row>
    <row r="932" spans="1:11" s="1" customFormat="1" ht="60" x14ac:dyDescent="0.2">
      <c r="A932" s="7">
        <v>94</v>
      </c>
      <c r="B932" s="38">
        <v>45153</v>
      </c>
      <c r="C932" s="9" t="s">
        <v>1842</v>
      </c>
      <c r="D932" s="9" t="s">
        <v>594</v>
      </c>
      <c r="E932" s="9" t="s">
        <v>1843</v>
      </c>
      <c r="F932" s="9" t="s">
        <v>367</v>
      </c>
      <c r="G932" s="54">
        <v>20494</v>
      </c>
      <c r="H932" s="54">
        <v>0</v>
      </c>
      <c r="I932" s="54">
        <f t="shared" si="39"/>
        <v>20494</v>
      </c>
      <c r="J932" s="58" t="e">
        <f>+#REF!+#REF!+#REF!+#REF!</f>
        <v>#REF!</v>
      </c>
      <c r="K932" s="8">
        <v>45169</v>
      </c>
    </row>
    <row r="933" spans="1:11" s="1" customFormat="1" ht="30" x14ac:dyDescent="0.2">
      <c r="A933" s="7">
        <v>95</v>
      </c>
      <c r="B933" s="38">
        <v>45153</v>
      </c>
      <c r="C933" s="9" t="s">
        <v>1857</v>
      </c>
      <c r="D933" s="9" t="s">
        <v>594</v>
      </c>
      <c r="E933" s="9" t="s">
        <v>1858</v>
      </c>
      <c r="F933" s="9" t="s">
        <v>464</v>
      </c>
      <c r="G933" s="54">
        <v>-20540</v>
      </c>
      <c r="H933" s="54">
        <v>0</v>
      </c>
      <c r="I933" s="54">
        <f t="shared" si="39"/>
        <v>-20540</v>
      </c>
      <c r="J933" s="58" t="e">
        <f>+#REF!+#REF!+#REF!+#REF!</f>
        <v>#REF!</v>
      </c>
      <c r="K933" s="8"/>
    </row>
    <row r="934" spans="1:11" s="1" customFormat="1" ht="60" x14ac:dyDescent="0.2">
      <c r="A934" s="7">
        <v>96</v>
      </c>
      <c r="B934" s="38">
        <v>45154</v>
      </c>
      <c r="C934" s="9">
        <v>558</v>
      </c>
      <c r="D934" s="9" t="s">
        <v>594</v>
      </c>
      <c r="E934" s="9" t="s">
        <v>1804</v>
      </c>
      <c r="F934" s="9" t="s">
        <v>587</v>
      </c>
      <c r="G934" s="54">
        <v>43200</v>
      </c>
      <c r="H934" s="54">
        <v>0</v>
      </c>
      <c r="I934" s="54">
        <f t="shared" si="39"/>
        <v>43200</v>
      </c>
      <c r="J934" s="58" t="e">
        <f>+#REF!+#REF!+#REF!+#REF!</f>
        <v>#REF!</v>
      </c>
      <c r="K934" s="8">
        <v>45156</v>
      </c>
    </row>
    <row r="935" spans="1:11" s="1" customFormat="1" ht="60" x14ac:dyDescent="0.2">
      <c r="A935" s="7">
        <v>97</v>
      </c>
      <c r="B935" s="38">
        <v>45155</v>
      </c>
      <c r="C935" s="9" t="s">
        <v>1844</v>
      </c>
      <c r="D935" s="9" t="s">
        <v>594</v>
      </c>
      <c r="E935" s="9" t="s">
        <v>1845</v>
      </c>
      <c r="F935" s="9" t="s">
        <v>367</v>
      </c>
      <c r="G935" s="54">
        <v>7490</v>
      </c>
      <c r="H935" s="54">
        <v>0</v>
      </c>
      <c r="I935" s="54">
        <f t="shared" si="39"/>
        <v>7490</v>
      </c>
      <c r="J935" s="58" t="e">
        <f>+#REF!+#REF!+#REF!+#REF!</f>
        <v>#REF!</v>
      </c>
      <c r="K935" s="8">
        <v>45169</v>
      </c>
    </row>
    <row r="936" spans="1:11" s="1" customFormat="1" ht="105" x14ac:dyDescent="0.2">
      <c r="A936" s="7">
        <v>98</v>
      </c>
      <c r="B936" s="38">
        <v>45155</v>
      </c>
      <c r="C936" s="9"/>
      <c r="D936" s="9" t="s">
        <v>594</v>
      </c>
      <c r="E936" s="9" t="s">
        <v>1815</v>
      </c>
      <c r="F936" s="9" t="s">
        <v>1814</v>
      </c>
      <c r="G936" s="54">
        <v>6910</v>
      </c>
      <c r="H936" s="54">
        <v>0</v>
      </c>
      <c r="I936" s="54">
        <f t="shared" si="39"/>
        <v>6910</v>
      </c>
      <c r="J936" s="58" t="e">
        <f>+#REF!+#REF!+#REF!+#REF!</f>
        <v>#REF!</v>
      </c>
      <c r="K936" s="8">
        <v>45155</v>
      </c>
    </row>
    <row r="937" spans="1:11" s="1" customFormat="1" ht="60" x14ac:dyDescent="0.2">
      <c r="A937" s="7">
        <v>99</v>
      </c>
      <c r="B937" s="38">
        <v>45156</v>
      </c>
      <c r="C937" s="9" t="s">
        <v>1846</v>
      </c>
      <c r="D937" s="9" t="s">
        <v>594</v>
      </c>
      <c r="E937" s="9" t="s">
        <v>1847</v>
      </c>
      <c r="F937" s="9" t="s">
        <v>367</v>
      </c>
      <c r="G937" s="54">
        <v>2198</v>
      </c>
      <c r="H937" s="54">
        <v>0</v>
      </c>
      <c r="I937" s="54">
        <f t="shared" si="39"/>
        <v>2198</v>
      </c>
      <c r="J937" s="58" t="e">
        <f>+#REF!+#REF!+#REF!+#REF!</f>
        <v>#REF!</v>
      </c>
      <c r="K937" s="8">
        <v>45169</v>
      </c>
    </row>
    <row r="938" spans="1:11" s="1" customFormat="1" ht="60" x14ac:dyDescent="0.2">
      <c r="A938" s="7">
        <v>100</v>
      </c>
      <c r="B938" s="38">
        <v>45159</v>
      </c>
      <c r="C938" s="9" t="s">
        <v>1848</v>
      </c>
      <c r="D938" s="9" t="s">
        <v>594</v>
      </c>
      <c r="E938" s="9" t="s">
        <v>1847</v>
      </c>
      <c r="F938" s="9" t="s">
        <v>367</v>
      </c>
      <c r="G938" s="54">
        <v>250</v>
      </c>
      <c r="H938" s="54">
        <v>0</v>
      </c>
      <c r="I938" s="54">
        <f t="shared" si="39"/>
        <v>250</v>
      </c>
      <c r="J938" s="58" t="e">
        <f>+#REF!+#REF!+#REF!+#REF!</f>
        <v>#REF!</v>
      </c>
      <c r="K938" s="8">
        <v>45169</v>
      </c>
    </row>
    <row r="939" spans="1:11" s="1" customFormat="1" ht="60" x14ac:dyDescent="0.2">
      <c r="A939" s="7">
        <v>101</v>
      </c>
      <c r="B939" s="38">
        <v>45160</v>
      </c>
      <c r="C939" s="9" t="s">
        <v>1849</v>
      </c>
      <c r="D939" s="9" t="s">
        <v>594</v>
      </c>
      <c r="E939" s="9" t="s">
        <v>1850</v>
      </c>
      <c r="F939" s="9" t="s">
        <v>367</v>
      </c>
      <c r="G939" s="54">
        <v>6899</v>
      </c>
      <c r="H939" s="54">
        <v>0</v>
      </c>
      <c r="I939" s="54">
        <f t="shared" si="39"/>
        <v>6899</v>
      </c>
      <c r="J939" s="58" t="e">
        <f>+#REF!+#REF!+#REF!+#REF!</f>
        <v>#REF!</v>
      </c>
      <c r="K939" s="8">
        <v>45169</v>
      </c>
    </row>
    <row r="940" spans="1:11" s="1" customFormat="1" ht="60" x14ac:dyDescent="0.2">
      <c r="A940" s="7">
        <v>102</v>
      </c>
      <c r="B940" s="38">
        <v>45160</v>
      </c>
      <c r="C940" s="9">
        <v>559</v>
      </c>
      <c r="D940" s="9" t="s">
        <v>594</v>
      </c>
      <c r="E940" s="9" t="s">
        <v>1827</v>
      </c>
      <c r="F940" s="9" t="s">
        <v>587</v>
      </c>
      <c r="G940" s="54">
        <v>7200</v>
      </c>
      <c r="H940" s="54">
        <v>0</v>
      </c>
      <c r="I940" s="54">
        <f t="shared" si="39"/>
        <v>7200</v>
      </c>
      <c r="J940" s="58" t="e">
        <f>+#REF!+#REF!+#REF!+#REF!</f>
        <v>#REF!</v>
      </c>
      <c r="K940" s="38">
        <v>45160</v>
      </c>
    </row>
    <row r="941" spans="1:11" s="1" customFormat="1" ht="60" x14ac:dyDescent="0.2">
      <c r="A941" s="7">
        <v>103</v>
      </c>
      <c r="B941" s="38">
        <v>45162</v>
      </c>
      <c r="C941" s="9" t="s">
        <v>1851</v>
      </c>
      <c r="D941" s="9" t="s">
        <v>594</v>
      </c>
      <c r="E941" s="9" t="s">
        <v>1852</v>
      </c>
      <c r="F941" s="9" t="s">
        <v>367</v>
      </c>
      <c r="G941" s="54">
        <v>7490</v>
      </c>
      <c r="H941" s="54">
        <v>0</v>
      </c>
      <c r="I941" s="54">
        <f t="shared" si="39"/>
        <v>7490</v>
      </c>
      <c r="J941" s="58" t="e">
        <f>+#REF!+#REF!+#REF!+#REF!</f>
        <v>#REF!</v>
      </c>
      <c r="K941" s="8">
        <v>45169</v>
      </c>
    </row>
    <row r="942" spans="1:11" s="1" customFormat="1" ht="60" x14ac:dyDescent="0.2">
      <c r="A942" s="7">
        <v>104</v>
      </c>
      <c r="B942" s="38">
        <v>45166</v>
      </c>
      <c r="C942" s="9" t="s">
        <v>1853</v>
      </c>
      <c r="D942" s="9" t="s">
        <v>594</v>
      </c>
      <c r="E942" s="9" t="s">
        <v>1854</v>
      </c>
      <c r="F942" s="9" t="s">
        <v>367</v>
      </c>
      <c r="G942" s="54">
        <v>8372</v>
      </c>
      <c r="H942" s="54">
        <v>0</v>
      </c>
      <c r="I942" s="54">
        <f t="shared" si="39"/>
        <v>8372</v>
      </c>
      <c r="J942" s="58" t="e">
        <f>+#REF!+#REF!+#REF!+#REF!</f>
        <v>#REF!</v>
      </c>
      <c r="K942" s="8">
        <v>45169</v>
      </c>
    </row>
    <row r="943" spans="1:11" s="1" customFormat="1" ht="75" x14ac:dyDescent="0.2">
      <c r="A943" s="7">
        <v>105</v>
      </c>
      <c r="B943" s="38">
        <v>45167</v>
      </c>
      <c r="C943" s="9">
        <v>560</v>
      </c>
      <c r="D943" s="9" t="s">
        <v>594</v>
      </c>
      <c r="E943" s="9" t="s">
        <v>1828</v>
      </c>
      <c r="F943" s="9" t="s">
        <v>587</v>
      </c>
      <c r="G943" s="54">
        <v>6000</v>
      </c>
      <c r="H943" s="54">
        <v>0</v>
      </c>
      <c r="I943" s="54">
        <f t="shared" si="39"/>
        <v>6000</v>
      </c>
      <c r="J943" s="58" t="e">
        <f>+#REF!+#REF!+#REF!+#REF!</f>
        <v>#REF!</v>
      </c>
      <c r="K943" s="8">
        <v>45168</v>
      </c>
    </row>
    <row r="944" spans="1:11" s="1" customFormat="1" ht="60" x14ac:dyDescent="0.2">
      <c r="A944" s="7">
        <v>106</v>
      </c>
      <c r="B944" s="38">
        <v>45167</v>
      </c>
      <c r="C944" s="9">
        <v>561</v>
      </c>
      <c r="D944" s="9" t="s">
        <v>594</v>
      </c>
      <c r="E944" s="9" t="s">
        <v>1829</v>
      </c>
      <c r="F944" s="9" t="s">
        <v>587</v>
      </c>
      <c r="G944" s="54">
        <v>72000</v>
      </c>
      <c r="H944" s="54">
        <v>0</v>
      </c>
      <c r="I944" s="54">
        <f t="shared" si="39"/>
        <v>72000</v>
      </c>
      <c r="J944" s="58" t="e">
        <f>+#REF!+#REF!+#REF!+#REF!</f>
        <v>#REF!</v>
      </c>
      <c r="K944" s="8">
        <v>45168</v>
      </c>
    </row>
    <row r="945" spans="1:11" s="1" customFormat="1" ht="75" x14ac:dyDescent="0.2">
      <c r="A945" s="7">
        <v>107</v>
      </c>
      <c r="B945" s="38">
        <v>45168</v>
      </c>
      <c r="C945" s="9" t="s">
        <v>1855</v>
      </c>
      <c r="D945" s="9" t="s">
        <v>594</v>
      </c>
      <c r="E945" s="9" t="s">
        <v>1856</v>
      </c>
      <c r="F945" s="9" t="s">
        <v>367</v>
      </c>
      <c r="G945" s="54">
        <v>6226</v>
      </c>
      <c r="H945" s="54">
        <v>0</v>
      </c>
      <c r="I945" s="54">
        <f t="shared" si="39"/>
        <v>6226</v>
      </c>
      <c r="J945" s="58" t="e">
        <f>+#REF!+#REF!+#REF!+#REF!</f>
        <v>#REF!</v>
      </c>
      <c r="K945" s="8">
        <v>45169</v>
      </c>
    </row>
    <row r="946" spans="1:11" s="1" customFormat="1" ht="30" x14ac:dyDescent="0.2">
      <c r="A946" s="7">
        <v>108</v>
      </c>
      <c r="B946" s="38">
        <v>45168</v>
      </c>
      <c r="C946" s="9"/>
      <c r="D946" s="9" t="s">
        <v>594</v>
      </c>
      <c r="E946" s="9" t="s">
        <v>990</v>
      </c>
      <c r="F946" s="9" t="s">
        <v>367</v>
      </c>
      <c r="G946" s="54">
        <v>506</v>
      </c>
      <c r="H946" s="54">
        <v>0</v>
      </c>
      <c r="I946" s="54">
        <f t="shared" si="39"/>
        <v>506</v>
      </c>
      <c r="J946" s="58" t="e">
        <f>+#REF!+#REF!+#REF!+#REF!</f>
        <v>#REF!</v>
      </c>
      <c r="K946" s="8">
        <v>45169</v>
      </c>
    </row>
    <row r="947" spans="1:11" s="1" customFormat="1" ht="30" x14ac:dyDescent="0.2">
      <c r="A947" s="7">
        <v>109</v>
      </c>
      <c r="B947" s="38">
        <v>45167</v>
      </c>
      <c r="C947" s="9" t="s">
        <v>476</v>
      </c>
      <c r="D947" s="9" t="s">
        <v>594</v>
      </c>
      <c r="E947" s="9" t="s">
        <v>1859</v>
      </c>
      <c r="F947" s="9" t="s">
        <v>594</v>
      </c>
      <c r="G947" s="54">
        <v>6720</v>
      </c>
      <c r="H947" s="54">
        <v>0</v>
      </c>
      <c r="I947" s="54">
        <f t="shared" si="39"/>
        <v>6720</v>
      </c>
      <c r="J947" s="58" t="e">
        <f>+#REF!+#REF!+#REF!+#REF!</f>
        <v>#REF!</v>
      </c>
      <c r="K947" s="8"/>
    </row>
    <row r="948" spans="1:11" s="1" customFormat="1" ht="60" x14ac:dyDescent="0.2">
      <c r="A948" s="7">
        <v>110</v>
      </c>
      <c r="B948" s="38">
        <v>45168</v>
      </c>
      <c r="C948" s="9"/>
      <c r="D948" s="9" t="s">
        <v>594</v>
      </c>
      <c r="E948" s="9" t="s">
        <v>1860</v>
      </c>
      <c r="F948" s="9" t="s">
        <v>464</v>
      </c>
      <c r="G948" s="54">
        <v>-6272</v>
      </c>
      <c r="H948" s="54">
        <v>0</v>
      </c>
      <c r="I948" s="54">
        <f t="shared" si="39"/>
        <v>-6272</v>
      </c>
      <c r="J948" s="58" t="e">
        <f>+#REF!+#REF!+#REF!+#REF!</f>
        <v>#REF!</v>
      </c>
      <c r="K948" s="8"/>
    </row>
    <row r="949" spans="1:11" s="1" customFormat="1" ht="75" x14ac:dyDescent="0.2">
      <c r="A949" s="7">
        <v>111</v>
      </c>
      <c r="B949" s="38">
        <v>45169</v>
      </c>
      <c r="C949" s="9" t="s">
        <v>1874</v>
      </c>
      <c r="D949" s="9" t="s">
        <v>594</v>
      </c>
      <c r="E949" s="9" t="s">
        <v>1875</v>
      </c>
      <c r="F949" s="9" t="s">
        <v>1050</v>
      </c>
      <c r="G949" s="54">
        <v>8567</v>
      </c>
      <c r="H949" s="54">
        <v>0</v>
      </c>
      <c r="I949" s="54">
        <f t="shared" si="39"/>
        <v>8567</v>
      </c>
      <c r="J949" s="58" t="e">
        <f>+#REF!+#REF!+#REF!+#REF!</f>
        <v>#REF!</v>
      </c>
      <c r="K949" s="8">
        <v>45149</v>
      </c>
    </row>
    <row r="950" spans="1:11" s="1" customFormat="1" ht="75" x14ac:dyDescent="0.2">
      <c r="A950" s="7">
        <v>112</v>
      </c>
      <c r="B950" s="38">
        <v>45169</v>
      </c>
      <c r="C950" s="9" t="s">
        <v>1876</v>
      </c>
      <c r="D950" s="9" t="s">
        <v>594</v>
      </c>
      <c r="E950" s="9" t="s">
        <v>1877</v>
      </c>
      <c r="F950" s="9" t="s">
        <v>1050</v>
      </c>
      <c r="G950" s="54">
        <v>8303</v>
      </c>
      <c r="H950" s="54">
        <v>0</v>
      </c>
      <c r="I950" s="54">
        <f t="shared" si="39"/>
        <v>8303</v>
      </c>
      <c r="J950" s="58" t="e">
        <f>+#REF!+#REF!+#REF!+#REF!</f>
        <v>#REF!</v>
      </c>
      <c r="K950" s="8" t="s">
        <v>1947</v>
      </c>
    </row>
    <row r="951" spans="1:11" s="1" customFormat="1" ht="75" x14ac:dyDescent="0.2">
      <c r="A951" s="7">
        <v>113</v>
      </c>
      <c r="B951" s="38">
        <v>45169</v>
      </c>
      <c r="C951" s="9" t="s">
        <v>1878</v>
      </c>
      <c r="D951" s="9" t="s">
        <v>594</v>
      </c>
      <c r="E951" s="9" t="s">
        <v>1879</v>
      </c>
      <c r="F951" s="9" t="s">
        <v>1050</v>
      </c>
      <c r="G951" s="54">
        <v>5919</v>
      </c>
      <c r="H951" s="54">
        <v>0</v>
      </c>
      <c r="I951" s="54">
        <f t="shared" si="39"/>
        <v>5919</v>
      </c>
      <c r="J951" s="58" t="e">
        <f>+#REF!+#REF!+#REF!+#REF!</f>
        <v>#REF!</v>
      </c>
      <c r="K951" s="8" t="s">
        <v>1948</v>
      </c>
    </row>
    <row r="952" spans="1:11" s="1" customFormat="1" ht="75" x14ac:dyDescent="0.2">
      <c r="A952" s="7">
        <v>114</v>
      </c>
      <c r="B952" s="38">
        <v>45169</v>
      </c>
      <c r="C952" s="9" t="s">
        <v>1880</v>
      </c>
      <c r="D952" s="9" t="s">
        <v>594</v>
      </c>
      <c r="E952" s="9" t="s">
        <v>1881</v>
      </c>
      <c r="F952" s="9" t="s">
        <v>1050</v>
      </c>
      <c r="G952" s="54">
        <v>8526</v>
      </c>
      <c r="H952" s="54">
        <v>0</v>
      </c>
      <c r="I952" s="54">
        <f t="shared" si="39"/>
        <v>8526</v>
      </c>
      <c r="J952" s="58" t="e">
        <f>+#REF!+#REF!+#REF!+#REF!</f>
        <v>#REF!</v>
      </c>
      <c r="K952" s="8">
        <v>45202</v>
      </c>
    </row>
    <row r="953" spans="1:11" s="1" customFormat="1" ht="75" x14ac:dyDescent="0.2">
      <c r="A953" s="7">
        <v>115</v>
      </c>
      <c r="B953" s="38">
        <v>45169</v>
      </c>
      <c r="C953" s="9" t="s">
        <v>1882</v>
      </c>
      <c r="D953" s="9" t="s">
        <v>594</v>
      </c>
      <c r="E953" s="9" t="s">
        <v>1883</v>
      </c>
      <c r="F953" s="9" t="s">
        <v>1050</v>
      </c>
      <c r="G953" s="54">
        <v>46900</v>
      </c>
      <c r="H953" s="54">
        <v>0</v>
      </c>
      <c r="I953" s="54">
        <f t="shared" si="39"/>
        <v>46900</v>
      </c>
      <c r="J953" s="58" t="e">
        <f>+#REF!+#REF!+#REF!+#REF!</f>
        <v>#REF!</v>
      </c>
      <c r="K953" s="8">
        <v>45202</v>
      </c>
    </row>
    <row r="954" spans="1:11" s="1" customFormat="1" ht="60" x14ac:dyDescent="0.2">
      <c r="A954" s="7">
        <v>116</v>
      </c>
      <c r="B954" s="38">
        <v>45169</v>
      </c>
      <c r="C954" s="9"/>
      <c r="D954" s="9" t="s">
        <v>594</v>
      </c>
      <c r="E954" s="9" t="s">
        <v>1921</v>
      </c>
      <c r="F954" s="9" t="s">
        <v>1050</v>
      </c>
      <c r="G954" s="54">
        <v>7822</v>
      </c>
      <c r="H954" s="54">
        <v>0</v>
      </c>
      <c r="I954" s="54">
        <f t="shared" si="39"/>
        <v>7822</v>
      </c>
      <c r="J954" s="58" t="e">
        <f>+#REF!+#REF!+#REF!+#REF!</f>
        <v>#REF!</v>
      </c>
      <c r="K954" s="8">
        <v>45202</v>
      </c>
    </row>
    <row r="955" spans="1:11" s="1" customFormat="1" ht="60" x14ac:dyDescent="0.2">
      <c r="A955" s="7">
        <v>117</v>
      </c>
      <c r="B955" s="38">
        <v>45186</v>
      </c>
      <c r="C955" s="9">
        <v>562</v>
      </c>
      <c r="D955" s="9" t="s">
        <v>594</v>
      </c>
      <c r="E955" s="9" t="s">
        <v>1896</v>
      </c>
      <c r="F955" s="9" t="s">
        <v>587</v>
      </c>
      <c r="G955" s="54">
        <v>16200</v>
      </c>
      <c r="H955" s="54">
        <v>0</v>
      </c>
      <c r="I955" s="54">
        <f t="shared" si="39"/>
        <v>16200</v>
      </c>
      <c r="J955" s="58" t="e">
        <f>+#REF!+#REF!+#REF!+#REF!</f>
        <v>#REF!</v>
      </c>
      <c r="K955" s="8">
        <v>45188</v>
      </c>
    </row>
    <row r="956" spans="1:11" s="1" customFormat="1" ht="60" x14ac:dyDescent="0.2">
      <c r="A956" s="7">
        <v>118</v>
      </c>
      <c r="B956" s="38">
        <v>45199</v>
      </c>
      <c r="C956" s="9" t="s">
        <v>476</v>
      </c>
      <c r="D956" s="9" t="s">
        <v>594</v>
      </c>
      <c r="E956" s="9" t="s">
        <v>1910</v>
      </c>
      <c r="F956" s="9" t="s">
        <v>1911</v>
      </c>
      <c r="G956" s="54">
        <v>1950</v>
      </c>
      <c r="H956" s="54">
        <v>0</v>
      </c>
      <c r="I956" s="54">
        <f t="shared" si="39"/>
        <v>1950</v>
      </c>
      <c r="J956" s="58" t="e">
        <f>+#REF!+#REF!+#REF!+#REF!</f>
        <v>#REF!</v>
      </c>
      <c r="K956" s="8">
        <v>45199</v>
      </c>
    </row>
    <row r="957" spans="1:11" s="1" customFormat="1" ht="60" x14ac:dyDescent="0.2">
      <c r="A957" s="7">
        <v>119</v>
      </c>
      <c r="B957" s="38">
        <v>44895</v>
      </c>
      <c r="C957" s="9" t="s">
        <v>476</v>
      </c>
      <c r="D957" s="9" t="s">
        <v>594</v>
      </c>
      <c r="E957" s="9" t="s">
        <v>530</v>
      </c>
      <c r="F957" s="9" t="s">
        <v>606</v>
      </c>
      <c r="G957" s="54">
        <v>2380</v>
      </c>
      <c r="H957" s="54">
        <v>0</v>
      </c>
      <c r="I957" s="54">
        <f t="shared" si="39"/>
        <v>2380</v>
      </c>
      <c r="J957" s="58" t="e">
        <f>+#REF!+#REF!+#REF!+#REF!</f>
        <v>#REF!</v>
      </c>
      <c r="K957" s="38">
        <v>44895</v>
      </c>
    </row>
    <row r="958" spans="1:11" s="1" customFormat="1" ht="114.75" customHeight="1" x14ac:dyDescent="0.2">
      <c r="A958" s="7">
        <v>120</v>
      </c>
      <c r="B958" s="38">
        <v>44895</v>
      </c>
      <c r="C958" s="9" t="s">
        <v>476</v>
      </c>
      <c r="D958" s="9" t="s">
        <v>594</v>
      </c>
      <c r="E958" s="9" t="s">
        <v>531</v>
      </c>
      <c r="F958" s="9" t="s">
        <v>607</v>
      </c>
      <c r="G958" s="54">
        <v>1277</v>
      </c>
      <c r="H958" s="54">
        <v>0</v>
      </c>
      <c r="I958" s="54">
        <f t="shared" si="39"/>
        <v>1277</v>
      </c>
      <c r="J958" s="58" t="e">
        <f>+#REF!+#REF!+#REF!+#REF!</f>
        <v>#REF!</v>
      </c>
      <c r="K958" s="38">
        <v>44895</v>
      </c>
    </row>
    <row r="959" spans="1:11" s="1" customFormat="1" ht="45" x14ac:dyDescent="0.2">
      <c r="A959" s="7">
        <v>121</v>
      </c>
      <c r="B959" s="38">
        <v>44884</v>
      </c>
      <c r="C959" s="9" t="s">
        <v>476</v>
      </c>
      <c r="D959" s="9" t="s">
        <v>594</v>
      </c>
      <c r="E959" s="9" t="s">
        <v>536</v>
      </c>
      <c r="F959" s="9" t="s">
        <v>587</v>
      </c>
      <c r="G959" s="54">
        <v>10000</v>
      </c>
      <c r="H959" s="54">
        <v>0</v>
      </c>
      <c r="I959" s="54">
        <f t="shared" si="39"/>
        <v>10000</v>
      </c>
      <c r="J959" s="58" t="e">
        <f>+#REF!+#REF!+#REF!+#REF!</f>
        <v>#REF!</v>
      </c>
      <c r="K959" s="38">
        <v>44884</v>
      </c>
    </row>
    <row r="960" spans="1:11" s="1" customFormat="1" ht="60" x14ac:dyDescent="0.2">
      <c r="A960" s="7">
        <v>122</v>
      </c>
      <c r="B960" s="38">
        <v>44885</v>
      </c>
      <c r="C960" s="9" t="s">
        <v>476</v>
      </c>
      <c r="D960" s="9" t="s">
        <v>594</v>
      </c>
      <c r="E960" s="9" t="s">
        <v>537</v>
      </c>
      <c r="F960" s="9" t="s">
        <v>587</v>
      </c>
      <c r="G960" s="54">
        <v>4100</v>
      </c>
      <c r="H960" s="54">
        <v>0</v>
      </c>
      <c r="I960" s="54">
        <f t="shared" si="39"/>
        <v>4100</v>
      </c>
      <c r="J960" s="58" t="e">
        <f>+#REF!+#REF!+#REF!+#REF!</f>
        <v>#REF!</v>
      </c>
      <c r="K960" s="38">
        <v>44885</v>
      </c>
    </row>
    <row r="961" spans="1:11" s="1" customFormat="1" ht="45" x14ac:dyDescent="0.2">
      <c r="A961" s="7">
        <v>123</v>
      </c>
      <c r="B961" s="38">
        <v>44914</v>
      </c>
      <c r="C961" s="9" t="s">
        <v>476</v>
      </c>
      <c r="D961" s="9" t="s">
        <v>594</v>
      </c>
      <c r="E961" s="9" t="s">
        <v>716</v>
      </c>
      <c r="F961" s="9" t="s">
        <v>717</v>
      </c>
      <c r="G961" s="54">
        <v>200</v>
      </c>
      <c r="H961" s="54">
        <v>0</v>
      </c>
      <c r="I961" s="54">
        <f t="shared" si="39"/>
        <v>200</v>
      </c>
      <c r="J961" s="58" t="e">
        <f>+#REF!+#REF!+#REF!+#REF!</f>
        <v>#REF!</v>
      </c>
      <c r="K961" s="38">
        <v>44914</v>
      </c>
    </row>
    <row r="962" spans="1:11" s="1" customFormat="1" ht="45" x14ac:dyDescent="0.2">
      <c r="A962" s="7">
        <v>124</v>
      </c>
      <c r="B962" s="38">
        <v>45200</v>
      </c>
      <c r="C962" s="9" t="s">
        <v>476</v>
      </c>
      <c r="D962" s="9" t="s">
        <v>594</v>
      </c>
      <c r="E962" s="9" t="s">
        <v>1968</v>
      </c>
      <c r="F962" s="9" t="s">
        <v>1969</v>
      </c>
      <c r="G962" s="54">
        <v>2500</v>
      </c>
      <c r="H962" s="54">
        <v>0</v>
      </c>
      <c r="I962" s="54">
        <f t="shared" si="39"/>
        <v>2500</v>
      </c>
      <c r="J962" s="58" t="e">
        <f>+#REF!+#REF!+#REF!+#REF!</f>
        <v>#REF!</v>
      </c>
      <c r="K962" s="8">
        <v>45200</v>
      </c>
    </row>
    <row r="963" spans="1:11" s="1" customFormat="1" ht="75" x14ac:dyDescent="0.2">
      <c r="A963" s="7">
        <v>125</v>
      </c>
      <c r="B963" s="38">
        <v>45204</v>
      </c>
      <c r="C963" s="9" t="s">
        <v>2003</v>
      </c>
      <c r="D963" s="9" t="s">
        <v>594</v>
      </c>
      <c r="E963" s="9" t="s">
        <v>2004</v>
      </c>
      <c r="F963" s="9" t="s">
        <v>367</v>
      </c>
      <c r="G963" s="54">
        <v>8091</v>
      </c>
      <c r="H963" s="54">
        <v>0</v>
      </c>
      <c r="I963" s="54">
        <f t="shared" si="39"/>
        <v>8091</v>
      </c>
      <c r="J963" s="58">
        <v>0</v>
      </c>
      <c r="K963" s="8"/>
    </row>
    <row r="964" spans="1:11" s="1" customFormat="1" ht="75" x14ac:dyDescent="0.2">
      <c r="A964" s="7">
        <v>126</v>
      </c>
      <c r="B964" s="38">
        <v>45206</v>
      </c>
      <c r="C964" s="9" t="s">
        <v>2005</v>
      </c>
      <c r="D964" s="9" t="s">
        <v>594</v>
      </c>
      <c r="E964" s="9" t="s">
        <v>2006</v>
      </c>
      <c r="F964" s="9" t="s">
        <v>367</v>
      </c>
      <c r="G964" s="54">
        <v>12476</v>
      </c>
      <c r="H964" s="54">
        <v>0</v>
      </c>
      <c r="I964" s="54">
        <f t="shared" si="39"/>
        <v>12476</v>
      </c>
      <c r="J964" s="58">
        <v>0</v>
      </c>
      <c r="K964" s="8"/>
    </row>
    <row r="965" spans="1:11" s="1" customFormat="1" ht="60" x14ac:dyDescent="0.2">
      <c r="A965" s="7">
        <v>127</v>
      </c>
      <c r="B965" s="38">
        <v>45207</v>
      </c>
      <c r="C965" s="9" t="s">
        <v>476</v>
      </c>
      <c r="D965" s="9" t="s">
        <v>594</v>
      </c>
      <c r="E965" s="9" t="s">
        <v>1970</v>
      </c>
      <c r="F965" s="9" t="s">
        <v>1971</v>
      </c>
      <c r="G965" s="54">
        <v>3500</v>
      </c>
      <c r="H965" s="54">
        <v>0</v>
      </c>
      <c r="I965" s="54">
        <f t="shared" si="39"/>
        <v>3500</v>
      </c>
      <c r="J965" s="58" t="e">
        <f>+#REF!+#REF!+#REF!+#REF!</f>
        <v>#REF!</v>
      </c>
      <c r="K965" s="8">
        <v>45207</v>
      </c>
    </row>
    <row r="966" spans="1:11" s="1" customFormat="1" ht="75" x14ac:dyDescent="0.2">
      <c r="A966" s="7">
        <v>128</v>
      </c>
      <c r="B966" s="38">
        <v>45207</v>
      </c>
      <c r="C966" s="9" t="s">
        <v>476</v>
      </c>
      <c r="D966" s="9" t="s">
        <v>594</v>
      </c>
      <c r="E966" s="9" t="s">
        <v>1972</v>
      </c>
      <c r="F966" s="9" t="s">
        <v>1973</v>
      </c>
      <c r="G966" s="54">
        <v>1060</v>
      </c>
      <c r="H966" s="54">
        <v>0</v>
      </c>
      <c r="I966" s="54">
        <f t="shared" si="39"/>
        <v>1060</v>
      </c>
      <c r="J966" s="58" t="e">
        <f>+#REF!+#REF!+#REF!+#REF!</f>
        <v>#REF!</v>
      </c>
      <c r="K966" s="8">
        <v>45207</v>
      </c>
    </row>
    <row r="967" spans="1:11" s="1" customFormat="1" ht="60" x14ac:dyDescent="0.2">
      <c r="A967" s="7">
        <v>129</v>
      </c>
      <c r="B967" s="38">
        <v>45207</v>
      </c>
      <c r="C967" s="9" t="s">
        <v>2007</v>
      </c>
      <c r="D967" s="9" t="s">
        <v>594</v>
      </c>
      <c r="E967" s="9" t="s">
        <v>2008</v>
      </c>
      <c r="F967" s="9" t="s">
        <v>1050</v>
      </c>
      <c r="G967" s="54">
        <v>6212</v>
      </c>
      <c r="H967" s="54">
        <v>0</v>
      </c>
      <c r="I967" s="54">
        <f t="shared" si="39"/>
        <v>6212</v>
      </c>
      <c r="J967" s="58">
        <v>0</v>
      </c>
      <c r="K967" s="8"/>
    </row>
    <row r="968" spans="1:11" s="1" customFormat="1" ht="60" x14ac:dyDescent="0.2">
      <c r="A968" s="7">
        <v>130</v>
      </c>
      <c r="B968" s="38">
        <v>45208</v>
      </c>
      <c r="C968" s="9">
        <v>563</v>
      </c>
      <c r="D968" s="9" t="s">
        <v>594</v>
      </c>
      <c r="E968" s="9" t="s">
        <v>1974</v>
      </c>
      <c r="F968" s="9" t="s">
        <v>587</v>
      </c>
      <c r="G968" s="54">
        <v>14400</v>
      </c>
      <c r="H968" s="54">
        <v>0</v>
      </c>
      <c r="I968" s="54">
        <f t="shared" si="39"/>
        <v>14400</v>
      </c>
      <c r="J968" s="58" t="e">
        <f>+#REF!+#REF!+#REF!+#REF!</f>
        <v>#REF!</v>
      </c>
      <c r="K968" s="8" t="s">
        <v>2014</v>
      </c>
    </row>
    <row r="969" spans="1:11" s="1" customFormat="1" ht="45" x14ac:dyDescent="0.2">
      <c r="A969" s="7">
        <v>131</v>
      </c>
      <c r="B969" s="38">
        <v>45209</v>
      </c>
      <c r="C969" s="9" t="s">
        <v>476</v>
      </c>
      <c r="D969" s="9" t="s">
        <v>594</v>
      </c>
      <c r="E969" s="9" t="s">
        <v>1975</v>
      </c>
      <c r="F969" s="9" t="s">
        <v>1814</v>
      </c>
      <c r="G969" s="54">
        <v>6040</v>
      </c>
      <c r="H969" s="54">
        <v>0</v>
      </c>
      <c r="I969" s="54">
        <f t="shared" si="39"/>
        <v>6040</v>
      </c>
      <c r="J969" s="58" t="e">
        <f>+#REF!+#REF!+#REF!+#REF!</f>
        <v>#REF!</v>
      </c>
      <c r="K969" s="8">
        <v>45209</v>
      </c>
    </row>
    <row r="970" spans="1:11" s="1" customFormat="1" ht="45" x14ac:dyDescent="0.2">
      <c r="A970" s="7">
        <v>132</v>
      </c>
      <c r="B970" s="38">
        <v>45213</v>
      </c>
      <c r="C970" s="9" t="s">
        <v>476</v>
      </c>
      <c r="D970" s="9" t="s">
        <v>594</v>
      </c>
      <c r="E970" s="9" t="s">
        <v>1976</v>
      </c>
      <c r="F970" s="9" t="s">
        <v>379</v>
      </c>
      <c r="G970" s="54">
        <v>2500</v>
      </c>
      <c r="H970" s="54">
        <v>0</v>
      </c>
      <c r="I970" s="54">
        <f t="shared" si="39"/>
        <v>2500</v>
      </c>
      <c r="J970" s="58" t="e">
        <f>+#REF!+#REF!+#REF!+#REF!</f>
        <v>#REF!</v>
      </c>
      <c r="K970" s="8">
        <v>45213</v>
      </c>
    </row>
    <row r="971" spans="1:11" s="1" customFormat="1" ht="30" x14ac:dyDescent="0.2">
      <c r="A971" s="7">
        <v>133</v>
      </c>
      <c r="B971" s="38">
        <v>45219</v>
      </c>
      <c r="C971" s="9" t="s">
        <v>476</v>
      </c>
      <c r="D971" s="9" t="s">
        <v>594</v>
      </c>
      <c r="E971" s="9" t="s">
        <v>1977</v>
      </c>
      <c r="F971" s="9" t="s">
        <v>1978</v>
      </c>
      <c r="G971" s="54">
        <v>2500</v>
      </c>
      <c r="H971" s="54">
        <v>0</v>
      </c>
      <c r="I971" s="54">
        <f t="shared" si="39"/>
        <v>2500</v>
      </c>
      <c r="J971" s="58" t="e">
        <f>+#REF!+#REF!+#REF!+#REF!</f>
        <v>#REF!</v>
      </c>
      <c r="K971" s="8">
        <v>45219</v>
      </c>
    </row>
    <row r="972" spans="1:11" s="1" customFormat="1" ht="60" x14ac:dyDescent="0.2">
      <c r="A972" s="7">
        <v>134</v>
      </c>
      <c r="B972" s="38">
        <v>45219</v>
      </c>
      <c r="C972" s="9">
        <v>565</v>
      </c>
      <c r="D972" s="9" t="s">
        <v>594</v>
      </c>
      <c r="E972" s="9" t="s">
        <v>1979</v>
      </c>
      <c r="F972" s="9" t="s">
        <v>587</v>
      </c>
      <c r="G972" s="54">
        <v>21600</v>
      </c>
      <c r="H972" s="54">
        <v>0</v>
      </c>
      <c r="I972" s="54">
        <f t="shared" si="39"/>
        <v>21600</v>
      </c>
      <c r="J972" s="58" t="e">
        <f>+#REF!+#REF!+#REF!+#REF!</f>
        <v>#REF!</v>
      </c>
      <c r="K972" s="8" t="s">
        <v>2015</v>
      </c>
    </row>
    <row r="973" spans="1:11" s="1" customFormat="1" ht="60" x14ac:dyDescent="0.2">
      <c r="A973" s="7">
        <v>135</v>
      </c>
      <c r="B973" s="38">
        <v>45222</v>
      </c>
      <c r="C973" s="9" t="s">
        <v>476</v>
      </c>
      <c r="D973" s="9" t="s">
        <v>594</v>
      </c>
      <c r="E973" s="9" t="s">
        <v>2030</v>
      </c>
      <c r="F973" s="9" t="s">
        <v>2031</v>
      </c>
      <c r="G973" s="54">
        <v>2640</v>
      </c>
      <c r="H973" s="54">
        <v>0</v>
      </c>
      <c r="I973" s="54">
        <f t="shared" si="39"/>
        <v>2640</v>
      </c>
      <c r="J973" s="58" t="e">
        <f>+#REF!+#REF!+#REF!+#REF!</f>
        <v>#REF!</v>
      </c>
      <c r="K973" s="8">
        <v>45222</v>
      </c>
    </row>
    <row r="974" spans="1:11" s="1" customFormat="1" ht="45" x14ac:dyDescent="0.2">
      <c r="A974" s="7">
        <v>136</v>
      </c>
      <c r="B974" s="38">
        <v>45255</v>
      </c>
      <c r="C974" s="9" t="s">
        <v>476</v>
      </c>
      <c r="D974" s="9" t="s">
        <v>594</v>
      </c>
      <c r="E974" s="9" t="s">
        <v>2046</v>
      </c>
      <c r="F974" s="9" t="s">
        <v>2047</v>
      </c>
      <c r="G974" s="54">
        <v>10000</v>
      </c>
      <c r="H974" s="54">
        <v>0</v>
      </c>
      <c r="I974" s="54">
        <f t="shared" si="39"/>
        <v>10000</v>
      </c>
      <c r="J974" s="58" t="e">
        <f>+#REF!+#REF!+#REF!+#REF!</f>
        <v>#REF!</v>
      </c>
      <c r="K974" s="8">
        <v>45255</v>
      </c>
    </row>
    <row r="975" spans="1:11" s="1" customFormat="1" ht="45" x14ac:dyDescent="0.2">
      <c r="A975" s="7">
        <v>137</v>
      </c>
      <c r="B975" s="38">
        <v>45256</v>
      </c>
      <c r="C975" s="9" t="s">
        <v>476</v>
      </c>
      <c r="D975" s="9" t="s">
        <v>594</v>
      </c>
      <c r="E975" s="9" t="s">
        <v>2046</v>
      </c>
      <c r="F975" s="9" t="s">
        <v>2047</v>
      </c>
      <c r="G975" s="54">
        <v>10000</v>
      </c>
      <c r="H975" s="54">
        <v>0</v>
      </c>
      <c r="I975" s="54">
        <f t="shared" si="39"/>
        <v>10000</v>
      </c>
      <c r="J975" s="58" t="e">
        <f>+#REF!+#REF!+#REF!+#REF!</f>
        <v>#REF!</v>
      </c>
      <c r="K975" s="8">
        <v>45256</v>
      </c>
    </row>
    <row r="976" spans="1:11" s="1" customFormat="1" ht="45" x14ac:dyDescent="0.2">
      <c r="A976" s="7">
        <v>138</v>
      </c>
      <c r="B976" s="38">
        <v>45257</v>
      </c>
      <c r="C976" s="9" t="s">
        <v>476</v>
      </c>
      <c r="D976" s="9" t="s">
        <v>594</v>
      </c>
      <c r="E976" s="9" t="s">
        <v>2046</v>
      </c>
      <c r="F976" s="9" t="s">
        <v>2047</v>
      </c>
      <c r="G976" s="54">
        <v>4250</v>
      </c>
      <c r="H976" s="54">
        <v>0</v>
      </c>
      <c r="I976" s="54">
        <f t="shared" si="39"/>
        <v>4250</v>
      </c>
      <c r="J976" s="58" t="e">
        <f>+#REF!+#REF!+#REF!+#REF!</f>
        <v>#REF!</v>
      </c>
      <c r="K976" s="8">
        <v>45257</v>
      </c>
    </row>
    <row r="977" spans="1:11" s="1" customFormat="1" ht="45" x14ac:dyDescent="0.2">
      <c r="A977" s="7">
        <v>139</v>
      </c>
      <c r="B977" s="38">
        <v>45275</v>
      </c>
      <c r="C977" s="9"/>
      <c r="D977" s="9" t="s">
        <v>594</v>
      </c>
      <c r="E977" s="9" t="s">
        <v>2057</v>
      </c>
      <c r="F977" s="9" t="s">
        <v>2052</v>
      </c>
      <c r="G977" s="54">
        <v>1085</v>
      </c>
      <c r="H977" s="54">
        <v>0</v>
      </c>
      <c r="I977" s="54">
        <f t="shared" si="39"/>
        <v>1085</v>
      </c>
      <c r="J977" s="58" t="e">
        <f>+#REF!+#REF!+#REF!+#REF!</f>
        <v>#REF!</v>
      </c>
      <c r="K977" s="8"/>
    </row>
    <row r="978" spans="1:11" s="1" customFormat="1" ht="60" x14ac:dyDescent="0.2">
      <c r="A978" s="7">
        <v>140</v>
      </c>
      <c r="B978" s="38">
        <v>45307</v>
      </c>
      <c r="C978" s="9" t="s">
        <v>2163</v>
      </c>
      <c r="D978" s="9" t="s">
        <v>594</v>
      </c>
      <c r="E978" s="9" t="s">
        <v>2164</v>
      </c>
      <c r="F978" s="9" t="s">
        <v>367</v>
      </c>
      <c r="G978" s="54">
        <v>1749</v>
      </c>
      <c r="H978" s="54">
        <v>0</v>
      </c>
      <c r="I978" s="54">
        <f t="shared" si="39"/>
        <v>1749</v>
      </c>
      <c r="J978" s="58" t="e">
        <f>+#REF!+#REF!+#REF!+#REF!</f>
        <v>#REF!</v>
      </c>
      <c r="K978" s="8"/>
    </row>
    <row r="979" spans="1:11" s="1" customFormat="1" ht="75" x14ac:dyDescent="0.2">
      <c r="A979" s="7">
        <v>141</v>
      </c>
      <c r="B979" s="38">
        <v>45310</v>
      </c>
      <c r="C979" s="9" t="s">
        <v>2165</v>
      </c>
      <c r="D979" s="9" t="s">
        <v>594</v>
      </c>
      <c r="E979" s="9" t="s">
        <v>2166</v>
      </c>
      <c r="F979" s="9" t="s">
        <v>367</v>
      </c>
      <c r="G979" s="54">
        <v>15448</v>
      </c>
      <c r="H979" s="54">
        <v>0</v>
      </c>
      <c r="I979" s="54">
        <f t="shared" si="39"/>
        <v>15448</v>
      </c>
      <c r="J979" s="58" t="e">
        <f>+#REF!+#REF!+#REF!+#REF!</f>
        <v>#REF!</v>
      </c>
      <c r="K979" s="8"/>
    </row>
    <row r="980" spans="1:11" s="1" customFormat="1" ht="60" x14ac:dyDescent="0.2">
      <c r="A980" s="7">
        <v>142</v>
      </c>
      <c r="B980" s="38">
        <v>45310</v>
      </c>
      <c r="C980" s="9" t="s">
        <v>2167</v>
      </c>
      <c r="D980" s="9" t="s">
        <v>594</v>
      </c>
      <c r="E980" s="9" t="s">
        <v>2168</v>
      </c>
      <c r="F980" s="9" t="s">
        <v>367</v>
      </c>
      <c r="G980" s="54">
        <v>18004</v>
      </c>
      <c r="H980" s="54">
        <v>0</v>
      </c>
      <c r="I980" s="54">
        <f t="shared" si="39"/>
        <v>18004</v>
      </c>
      <c r="J980" s="58" t="e">
        <f>+#REF!+#REF!+#REF!+#REF!</f>
        <v>#REF!</v>
      </c>
      <c r="K980" s="8"/>
    </row>
    <row r="981" spans="1:11" s="1" customFormat="1" ht="60" x14ac:dyDescent="0.2">
      <c r="A981" s="7">
        <v>143</v>
      </c>
      <c r="B981" s="38">
        <v>45310</v>
      </c>
      <c r="C981" s="9"/>
      <c r="D981" s="9" t="s">
        <v>594</v>
      </c>
      <c r="E981" s="9" t="s">
        <v>2169</v>
      </c>
      <c r="F981" s="9" t="s">
        <v>367</v>
      </c>
      <c r="G981" s="54">
        <v>138</v>
      </c>
      <c r="H981" s="54">
        <v>0</v>
      </c>
      <c r="I981" s="54">
        <f t="shared" si="39"/>
        <v>138</v>
      </c>
      <c r="J981" s="58" t="e">
        <f>+#REF!+#REF!+#REF!+#REF!</f>
        <v>#REF!</v>
      </c>
      <c r="K981" s="8"/>
    </row>
    <row r="982" spans="1:11" s="1" customFormat="1" ht="75" x14ac:dyDescent="0.2">
      <c r="A982" s="7">
        <v>144</v>
      </c>
      <c r="B982" s="38">
        <v>45316</v>
      </c>
      <c r="C982" s="9" t="s">
        <v>2170</v>
      </c>
      <c r="D982" s="9" t="s">
        <v>594</v>
      </c>
      <c r="E982" s="9" t="s">
        <v>2171</v>
      </c>
      <c r="F982" s="9" t="s">
        <v>2172</v>
      </c>
      <c r="G982" s="54">
        <v>7900</v>
      </c>
      <c r="H982" s="54">
        <v>0</v>
      </c>
      <c r="I982" s="54">
        <f t="shared" si="39"/>
        <v>7900</v>
      </c>
      <c r="J982" s="58" t="e">
        <f>+#REF!+#REF!+#REF!+#REF!</f>
        <v>#REF!</v>
      </c>
      <c r="K982" s="8"/>
    </row>
    <row r="983" spans="1:11" s="1" customFormat="1" ht="90" x14ac:dyDescent="0.2">
      <c r="A983" s="7">
        <v>145</v>
      </c>
      <c r="B983" s="38">
        <v>45322</v>
      </c>
      <c r="C983" s="9" t="s">
        <v>2173</v>
      </c>
      <c r="D983" s="9" t="s">
        <v>594</v>
      </c>
      <c r="E983" s="9" t="s">
        <v>2174</v>
      </c>
      <c r="F983" s="9" t="s">
        <v>2175</v>
      </c>
      <c r="G983" s="54">
        <v>31820</v>
      </c>
      <c r="H983" s="54">
        <v>0</v>
      </c>
      <c r="I983" s="54">
        <f t="shared" si="39"/>
        <v>31820</v>
      </c>
      <c r="J983" s="58" t="e">
        <f>+#REF!+#REF!+#REF!+#REF!</f>
        <v>#REF!</v>
      </c>
      <c r="K983" s="8"/>
    </row>
    <row r="984" spans="1:11" s="1" customFormat="1" ht="90" x14ac:dyDescent="0.2">
      <c r="A984" s="7">
        <v>146</v>
      </c>
      <c r="B984" s="38">
        <v>45329</v>
      </c>
      <c r="C984" s="9" t="s">
        <v>2186</v>
      </c>
      <c r="D984" s="9" t="s">
        <v>594</v>
      </c>
      <c r="E984" s="9" t="s">
        <v>2187</v>
      </c>
      <c r="F984" s="9" t="s">
        <v>367</v>
      </c>
      <c r="G984" s="54">
        <v>20354</v>
      </c>
      <c r="H984" s="54">
        <v>0</v>
      </c>
      <c r="I984" s="54">
        <f t="shared" si="39"/>
        <v>20354</v>
      </c>
      <c r="J984" s="58" t="e">
        <f>+#REF!+#REF!+#REF!+#REF!</f>
        <v>#REF!</v>
      </c>
      <c r="K984" s="8"/>
    </row>
    <row r="985" spans="1:11" s="1" customFormat="1" ht="45" x14ac:dyDescent="0.2">
      <c r="A985" s="7">
        <v>147</v>
      </c>
      <c r="B985" s="38">
        <v>45334</v>
      </c>
      <c r="C985" s="9" t="s">
        <v>476</v>
      </c>
      <c r="D985" s="9" t="s">
        <v>594</v>
      </c>
      <c r="E985" s="9" t="s">
        <v>2185</v>
      </c>
      <c r="F985" s="9" t="s">
        <v>594</v>
      </c>
      <c r="G985" s="54">
        <v>5150</v>
      </c>
      <c r="H985" s="54">
        <v>0</v>
      </c>
      <c r="I985" s="54">
        <f t="shared" si="39"/>
        <v>5150</v>
      </c>
      <c r="J985" s="58" t="e">
        <f>+#REF!+#REF!+#REF!+#REF!</f>
        <v>#REF!</v>
      </c>
      <c r="K985" s="8"/>
    </row>
    <row r="986" spans="1:11" s="1" customFormat="1" ht="75" x14ac:dyDescent="0.2">
      <c r="A986" s="7">
        <v>148</v>
      </c>
      <c r="B986" s="38">
        <v>45334</v>
      </c>
      <c r="C986" s="9">
        <v>570</v>
      </c>
      <c r="D986" s="9" t="s">
        <v>594</v>
      </c>
      <c r="E986" s="9" t="s">
        <v>2188</v>
      </c>
      <c r="F986" s="9" t="s">
        <v>587</v>
      </c>
      <c r="G986" s="54">
        <v>18000</v>
      </c>
      <c r="H986" s="54">
        <v>0</v>
      </c>
      <c r="I986" s="54">
        <f t="shared" si="39"/>
        <v>18000</v>
      </c>
      <c r="J986" s="58" t="e">
        <f>+#REF!+#REF!+#REF!+#REF!</f>
        <v>#REF!</v>
      </c>
      <c r="K986" s="8"/>
    </row>
    <row r="987" spans="1:11" s="1" customFormat="1" ht="45" x14ac:dyDescent="0.2">
      <c r="A987" s="7">
        <v>149</v>
      </c>
      <c r="B987" s="38">
        <v>45346</v>
      </c>
      <c r="C987" s="9" t="s">
        <v>476</v>
      </c>
      <c r="D987" s="9" t="s">
        <v>594</v>
      </c>
      <c r="E987" s="9" t="s">
        <v>2189</v>
      </c>
      <c r="F987" s="9" t="s">
        <v>379</v>
      </c>
      <c r="G987" s="54">
        <v>960</v>
      </c>
      <c r="H987" s="54">
        <v>0</v>
      </c>
      <c r="I987" s="54">
        <f t="shared" si="39"/>
        <v>960</v>
      </c>
      <c r="J987" s="58" t="e">
        <f>+#REF!+#REF!+#REF!+#REF!</f>
        <v>#REF!</v>
      </c>
      <c r="K987" s="8"/>
    </row>
    <row r="988" spans="1:11" s="1" customFormat="1" ht="60" x14ac:dyDescent="0.2">
      <c r="A988" s="7">
        <v>150</v>
      </c>
      <c r="B988" s="38">
        <v>45348</v>
      </c>
      <c r="C988" s="9" t="s">
        <v>476</v>
      </c>
      <c r="D988" s="9" t="s">
        <v>594</v>
      </c>
      <c r="E988" s="9" t="s">
        <v>2190</v>
      </c>
      <c r="F988" s="9" t="s">
        <v>2191</v>
      </c>
      <c r="G988" s="54">
        <v>2135</v>
      </c>
      <c r="H988" s="54">
        <v>0</v>
      </c>
      <c r="I988" s="54">
        <f t="shared" si="39"/>
        <v>2135</v>
      </c>
      <c r="J988" s="58" t="e">
        <f>+#REF!+#REF!+#REF!+#REF!</f>
        <v>#REF!</v>
      </c>
      <c r="K988" s="8"/>
    </row>
    <row r="989" spans="1:11" s="1" customFormat="1" ht="105" x14ac:dyDescent="0.2">
      <c r="A989" s="7">
        <v>151</v>
      </c>
      <c r="B989" s="38">
        <v>45351</v>
      </c>
      <c r="C989" s="9">
        <v>9468</v>
      </c>
      <c r="D989" s="9" t="s">
        <v>594</v>
      </c>
      <c r="E989" s="9" t="s">
        <v>2192</v>
      </c>
      <c r="F989" s="9" t="s">
        <v>2175</v>
      </c>
      <c r="G989" s="54">
        <v>21570</v>
      </c>
      <c r="H989" s="54">
        <v>0</v>
      </c>
      <c r="I989" s="54">
        <f t="shared" si="39"/>
        <v>21570</v>
      </c>
      <c r="J989" s="58" t="e">
        <f>+#REF!+#REF!+#REF!+#REF!</f>
        <v>#REF!</v>
      </c>
      <c r="K989" s="8"/>
    </row>
    <row r="990" spans="1:11" s="28" customFormat="1" ht="15.75" x14ac:dyDescent="0.25">
      <c r="A990" s="25"/>
      <c r="B990" s="26"/>
      <c r="C990" s="27"/>
      <c r="D990" s="27"/>
      <c r="E990" s="27"/>
      <c r="F990" s="27" t="s">
        <v>593</v>
      </c>
      <c r="G990" s="24">
        <f t="shared" ref="G990:I990" si="40">SUM(G839:G989)</f>
        <v>1187626</v>
      </c>
      <c r="H990" s="24">
        <f t="shared" si="40"/>
        <v>0</v>
      </c>
      <c r="I990" s="24">
        <f t="shared" si="40"/>
        <v>1187626</v>
      </c>
      <c r="J990" s="58" t="e">
        <f>+#REF!+#REF!+#REF!+#REF!</f>
        <v>#REF!</v>
      </c>
      <c r="K990" s="8"/>
    </row>
    <row r="991" spans="1:11" s="42" customFormat="1" ht="31.5" x14ac:dyDescent="0.25">
      <c r="A991" s="13"/>
      <c r="B991" s="40"/>
      <c r="C991" s="41"/>
      <c r="D991" s="41"/>
      <c r="E991" s="30" t="s">
        <v>1506</v>
      </c>
      <c r="F991" s="41"/>
      <c r="G991" s="14"/>
      <c r="H991" s="14"/>
      <c r="I991" s="14"/>
      <c r="J991" s="58" t="e">
        <f>+#REF!+#REF!+#REF!+#REF!</f>
        <v>#REF!</v>
      </c>
      <c r="K991" s="8"/>
    </row>
    <row r="992" spans="1:11" s="1" customFormat="1" ht="30" x14ac:dyDescent="0.2">
      <c r="A992" s="7"/>
      <c r="B992" s="38">
        <v>45016</v>
      </c>
      <c r="C992" s="9"/>
      <c r="D992" s="9" t="s">
        <v>1510</v>
      </c>
      <c r="E992" s="9" t="s">
        <v>1503</v>
      </c>
      <c r="F992" s="9" t="s">
        <v>1500</v>
      </c>
      <c r="G992" s="54">
        <f>2077604+738401</f>
        <v>2816005</v>
      </c>
      <c r="H992" s="54">
        <v>0</v>
      </c>
      <c r="I992" s="54">
        <f t="shared" ref="I992:I1028" si="41">+G992+H992</f>
        <v>2816005</v>
      </c>
      <c r="J992" s="58" t="e">
        <f>+#REF!+#REF!+#REF!+#REF!</f>
        <v>#REF!</v>
      </c>
      <c r="K992" s="8"/>
    </row>
    <row r="993" spans="1:11" s="1" customFormat="1" ht="20.25" customHeight="1" x14ac:dyDescent="0.2">
      <c r="A993" s="7"/>
      <c r="B993" s="38">
        <v>45016</v>
      </c>
      <c r="C993" s="9"/>
      <c r="D993" s="9" t="s">
        <v>1510</v>
      </c>
      <c r="E993" s="9" t="s">
        <v>1504</v>
      </c>
      <c r="F993" s="9" t="s">
        <v>1500</v>
      </c>
      <c r="G993" s="54">
        <v>1728000</v>
      </c>
      <c r="H993" s="54">
        <v>0</v>
      </c>
      <c r="I993" s="54">
        <f t="shared" si="41"/>
        <v>1728000</v>
      </c>
      <c r="J993" s="58" t="e">
        <f>+#REF!+#REF!+#REF!+#REF!</f>
        <v>#REF!</v>
      </c>
      <c r="K993" s="8"/>
    </row>
    <row r="994" spans="1:11" s="1" customFormat="1" ht="30" x14ac:dyDescent="0.2">
      <c r="A994" s="7"/>
      <c r="B994" s="38">
        <v>45016</v>
      </c>
      <c r="C994" s="9"/>
      <c r="D994" s="9" t="s">
        <v>1510</v>
      </c>
      <c r="E994" s="9" t="s">
        <v>1505</v>
      </c>
      <c r="F994" s="9" t="s">
        <v>1500</v>
      </c>
      <c r="G994" s="54">
        <v>1122929</v>
      </c>
      <c r="H994" s="54">
        <v>0</v>
      </c>
      <c r="I994" s="54">
        <f t="shared" si="41"/>
        <v>1122929</v>
      </c>
      <c r="J994" s="58" t="e">
        <f>+#REF!+#REF!+#REF!+#REF!</f>
        <v>#REF!</v>
      </c>
      <c r="K994" s="8"/>
    </row>
    <row r="995" spans="1:11" s="1" customFormat="1" ht="30" x14ac:dyDescent="0.2">
      <c r="A995" s="7"/>
      <c r="B995" s="38">
        <v>45016</v>
      </c>
      <c r="C995" s="9"/>
      <c r="D995" s="9" t="s">
        <v>1510</v>
      </c>
      <c r="E995" s="9" t="s">
        <v>1507</v>
      </c>
      <c r="F995" s="9" t="s">
        <v>1500</v>
      </c>
      <c r="G995" s="54">
        <v>943274</v>
      </c>
      <c r="H995" s="54">
        <v>0</v>
      </c>
      <c r="I995" s="54">
        <f t="shared" si="41"/>
        <v>943274</v>
      </c>
      <c r="J995" s="58" t="e">
        <f>+#REF!+#REF!+#REF!+#REF!</f>
        <v>#REF!</v>
      </c>
      <c r="K995" s="8"/>
    </row>
    <row r="996" spans="1:11" s="1" customFormat="1" ht="30" x14ac:dyDescent="0.2">
      <c r="A996" s="7"/>
      <c r="B996" s="38">
        <v>45016</v>
      </c>
      <c r="C996" s="9"/>
      <c r="D996" s="9" t="s">
        <v>1510</v>
      </c>
      <c r="E996" s="9" t="s">
        <v>1508</v>
      </c>
      <c r="F996" s="9" t="s">
        <v>1500</v>
      </c>
      <c r="G996" s="54">
        <v>1609803</v>
      </c>
      <c r="H996" s="54">
        <v>0</v>
      </c>
      <c r="I996" s="54">
        <f t="shared" si="41"/>
        <v>1609803</v>
      </c>
      <c r="J996" s="58" t="e">
        <f>+#REF!+#REF!+#REF!+#REF!</f>
        <v>#REF!</v>
      </c>
      <c r="K996" s="8"/>
    </row>
    <row r="997" spans="1:11" s="1" customFormat="1" ht="30" x14ac:dyDescent="0.2">
      <c r="A997" s="7"/>
      <c r="B997" s="38">
        <v>45016</v>
      </c>
      <c r="C997" s="9"/>
      <c r="D997" s="9" t="s">
        <v>1510</v>
      </c>
      <c r="E997" s="9" t="s">
        <v>1509</v>
      </c>
      <c r="F997" s="9" t="s">
        <v>1500</v>
      </c>
      <c r="G997" s="54">
        <v>1014518</v>
      </c>
      <c r="H997" s="54">
        <v>0</v>
      </c>
      <c r="I997" s="54">
        <f t="shared" si="41"/>
        <v>1014518</v>
      </c>
      <c r="J997" s="58" t="e">
        <f>+#REF!+#REF!+#REF!+#REF!</f>
        <v>#REF!</v>
      </c>
      <c r="K997" s="8"/>
    </row>
    <row r="998" spans="1:11" s="1" customFormat="1" ht="63" customHeight="1" x14ac:dyDescent="0.2">
      <c r="A998" s="7"/>
      <c r="B998" s="38">
        <v>45046</v>
      </c>
      <c r="C998" s="9"/>
      <c r="D998" s="9" t="s">
        <v>1510</v>
      </c>
      <c r="E998" s="9" t="s">
        <v>1636</v>
      </c>
      <c r="F998" s="9" t="s">
        <v>1500</v>
      </c>
      <c r="G998" s="54">
        <v>607274</v>
      </c>
      <c r="H998" s="54">
        <v>0</v>
      </c>
      <c r="I998" s="54">
        <f t="shared" si="41"/>
        <v>607274</v>
      </c>
      <c r="J998" s="58" t="e">
        <f>+#REF!+#REF!+#REF!+#REF!</f>
        <v>#REF!</v>
      </c>
      <c r="K998" s="8"/>
    </row>
    <row r="999" spans="1:11" s="1" customFormat="1" ht="75" x14ac:dyDescent="0.2">
      <c r="A999" s="7"/>
      <c r="B999" s="38">
        <v>45046</v>
      </c>
      <c r="C999" s="9"/>
      <c r="D999" s="9" t="s">
        <v>1510</v>
      </c>
      <c r="E999" s="9" t="s">
        <v>1637</v>
      </c>
      <c r="F999" s="9" t="s">
        <v>1500</v>
      </c>
      <c r="G999" s="54">
        <v>168158</v>
      </c>
      <c r="H999" s="54">
        <v>0</v>
      </c>
      <c r="I999" s="54">
        <f t="shared" si="41"/>
        <v>168158</v>
      </c>
      <c r="J999" s="58" t="e">
        <f>+#REF!+#REF!+#REF!+#REF!</f>
        <v>#REF!</v>
      </c>
      <c r="K999" s="8"/>
    </row>
    <row r="1000" spans="1:11" s="1" customFormat="1" ht="75" x14ac:dyDescent="0.2">
      <c r="A1000" s="7"/>
      <c r="B1000" s="38">
        <v>45046</v>
      </c>
      <c r="C1000" s="9"/>
      <c r="D1000" s="9" t="s">
        <v>1510</v>
      </c>
      <c r="E1000" s="9" t="s">
        <v>1638</v>
      </c>
      <c r="F1000" s="9" t="s">
        <v>1500</v>
      </c>
      <c r="G1000" s="54">
        <v>187600</v>
      </c>
      <c r="H1000" s="54">
        <v>0</v>
      </c>
      <c r="I1000" s="54">
        <f t="shared" si="41"/>
        <v>187600</v>
      </c>
      <c r="J1000" s="58" t="e">
        <f>+#REF!+#REF!+#REF!+#REF!</f>
        <v>#REF!</v>
      </c>
      <c r="K1000" s="8"/>
    </row>
    <row r="1001" spans="1:11" s="1" customFormat="1" ht="75" x14ac:dyDescent="0.2">
      <c r="A1001" s="7"/>
      <c r="B1001" s="38">
        <v>45046</v>
      </c>
      <c r="C1001" s="9"/>
      <c r="D1001" s="9" t="s">
        <v>1510</v>
      </c>
      <c r="E1001" s="9" t="s">
        <v>1639</v>
      </c>
      <c r="F1001" s="9" t="s">
        <v>1500</v>
      </c>
      <c r="G1001" s="54">
        <v>200000</v>
      </c>
      <c r="H1001" s="54">
        <v>0</v>
      </c>
      <c r="I1001" s="54">
        <f t="shared" si="41"/>
        <v>200000</v>
      </c>
      <c r="J1001" s="58" t="e">
        <f>+#REF!+#REF!+#REF!+#REF!</f>
        <v>#REF!</v>
      </c>
      <c r="K1001" s="8"/>
    </row>
    <row r="1002" spans="1:11" s="1" customFormat="1" ht="30" x14ac:dyDescent="0.2">
      <c r="A1002" s="7"/>
      <c r="B1002" s="38">
        <v>45046</v>
      </c>
      <c r="C1002" s="9"/>
      <c r="D1002" s="9" t="s">
        <v>1510</v>
      </c>
      <c r="E1002" s="9" t="s">
        <v>1723</v>
      </c>
      <c r="F1002" s="9" t="s">
        <v>1500</v>
      </c>
      <c r="G1002" s="54">
        <v>318766</v>
      </c>
      <c r="H1002" s="54">
        <v>0</v>
      </c>
      <c r="I1002" s="54">
        <f t="shared" si="41"/>
        <v>318766</v>
      </c>
      <c r="J1002" s="58" t="e">
        <f>+#REF!+#REF!+#REF!+#REF!</f>
        <v>#REF!</v>
      </c>
      <c r="K1002" s="8"/>
    </row>
    <row r="1003" spans="1:11" s="1" customFormat="1" ht="30" x14ac:dyDescent="0.2">
      <c r="A1003" s="7"/>
      <c r="B1003" s="38">
        <v>45046</v>
      </c>
      <c r="C1003" s="9"/>
      <c r="D1003" s="9" t="s">
        <v>1510</v>
      </c>
      <c r="E1003" s="9" t="s">
        <v>1505</v>
      </c>
      <c r="F1003" s="9" t="s">
        <v>1500</v>
      </c>
      <c r="G1003" s="54">
        <v>260494.89</v>
      </c>
      <c r="H1003" s="54">
        <v>0</v>
      </c>
      <c r="I1003" s="54">
        <f t="shared" si="41"/>
        <v>260494.89</v>
      </c>
      <c r="J1003" s="58" t="e">
        <f>+#REF!+#REF!+#REF!+#REF!</f>
        <v>#REF!</v>
      </c>
      <c r="K1003" s="8"/>
    </row>
    <row r="1004" spans="1:11" s="1" customFormat="1" ht="30" x14ac:dyDescent="0.2">
      <c r="A1004" s="7"/>
      <c r="B1004" s="38">
        <v>45046</v>
      </c>
      <c r="C1004" s="9"/>
      <c r="D1004" s="9" t="s">
        <v>1510</v>
      </c>
      <c r="E1004" s="9" t="s">
        <v>1724</v>
      </c>
      <c r="F1004" s="9" t="s">
        <v>1500</v>
      </c>
      <c r="G1004" s="54">
        <v>377417.77</v>
      </c>
      <c r="H1004" s="54">
        <v>0</v>
      </c>
      <c r="I1004" s="54">
        <f t="shared" si="41"/>
        <v>377417.77</v>
      </c>
      <c r="J1004" s="58" t="e">
        <f>+#REF!+#REF!+#REF!+#REF!</f>
        <v>#REF!</v>
      </c>
      <c r="K1004" s="8"/>
    </row>
    <row r="1005" spans="1:11" s="1" customFormat="1" ht="30" x14ac:dyDescent="0.2">
      <c r="A1005" s="7"/>
      <c r="B1005" s="38">
        <v>45077</v>
      </c>
      <c r="C1005" s="9"/>
      <c r="D1005" s="9" t="s">
        <v>1510</v>
      </c>
      <c r="E1005" s="9" t="s">
        <v>1505</v>
      </c>
      <c r="F1005" s="9" t="s">
        <v>1500</v>
      </c>
      <c r="G1005" s="54">
        <v>264345.43</v>
      </c>
      <c r="H1005" s="54">
        <v>0</v>
      </c>
      <c r="I1005" s="54">
        <f t="shared" si="41"/>
        <v>264345.43</v>
      </c>
      <c r="J1005" s="58" t="e">
        <f>+#REF!+#REF!+#REF!+#REF!</f>
        <v>#REF!</v>
      </c>
      <c r="K1005" s="8"/>
    </row>
    <row r="1006" spans="1:11" s="1" customFormat="1" ht="30" x14ac:dyDescent="0.2">
      <c r="A1006" s="7"/>
      <c r="B1006" s="38">
        <v>45077</v>
      </c>
      <c r="C1006" s="9"/>
      <c r="D1006" s="9" t="s">
        <v>1510</v>
      </c>
      <c r="E1006" s="9" t="s">
        <v>1723</v>
      </c>
      <c r="F1006" s="9" t="s">
        <v>1500</v>
      </c>
      <c r="G1006" s="54">
        <v>333383.09999999998</v>
      </c>
      <c r="H1006" s="54">
        <v>0</v>
      </c>
      <c r="I1006" s="54">
        <f t="shared" si="41"/>
        <v>333383.09999999998</v>
      </c>
      <c r="J1006" s="58" t="e">
        <f>+#REF!+#REF!+#REF!+#REF!</f>
        <v>#REF!</v>
      </c>
      <c r="K1006" s="8"/>
    </row>
    <row r="1007" spans="1:11" s="1" customFormat="1" ht="30" x14ac:dyDescent="0.2">
      <c r="A1007" s="7"/>
      <c r="B1007" s="38">
        <v>45077</v>
      </c>
      <c r="C1007" s="9"/>
      <c r="D1007" s="9" t="s">
        <v>1510</v>
      </c>
      <c r="E1007" s="9" t="s">
        <v>1724</v>
      </c>
      <c r="F1007" s="9" t="s">
        <v>1500</v>
      </c>
      <c r="G1007" s="54">
        <v>365513.49</v>
      </c>
      <c r="H1007" s="54">
        <v>0</v>
      </c>
      <c r="I1007" s="54">
        <f t="shared" si="41"/>
        <v>365513.49</v>
      </c>
      <c r="J1007" s="58" t="e">
        <f>+#REF!+#REF!+#REF!+#REF!</f>
        <v>#REF!</v>
      </c>
      <c r="K1007" s="8"/>
    </row>
    <row r="1008" spans="1:11" s="1" customFormat="1" ht="30" x14ac:dyDescent="0.2">
      <c r="A1008" s="7"/>
      <c r="B1008" s="38">
        <v>45071</v>
      </c>
      <c r="C1008" s="9"/>
      <c r="D1008" s="9" t="s">
        <v>1510</v>
      </c>
      <c r="E1008" s="9" t="s">
        <v>1725</v>
      </c>
      <c r="F1008" s="9" t="s">
        <v>1725</v>
      </c>
      <c r="G1008" s="54">
        <v>142002</v>
      </c>
      <c r="H1008" s="54">
        <v>0</v>
      </c>
      <c r="I1008" s="54">
        <f t="shared" si="41"/>
        <v>142002</v>
      </c>
      <c r="J1008" s="58" t="e">
        <f>+#REF!+#REF!+#REF!+#REF!</f>
        <v>#REF!</v>
      </c>
      <c r="K1008" s="8"/>
    </row>
    <row r="1009" spans="1:11" s="1" customFormat="1" ht="75" x14ac:dyDescent="0.2">
      <c r="A1009" s="7"/>
      <c r="B1009" s="38">
        <v>45077</v>
      </c>
      <c r="C1009" s="9"/>
      <c r="D1009" s="9" t="s">
        <v>1510</v>
      </c>
      <c r="E1009" s="9" t="s">
        <v>1676</v>
      </c>
      <c r="F1009" s="9" t="s">
        <v>1500</v>
      </c>
      <c r="G1009" s="54">
        <v>200000</v>
      </c>
      <c r="H1009" s="54">
        <v>0</v>
      </c>
      <c r="I1009" s="54">
        <f t="shared" si="41"/>
        <v>200000</v>
      </c>
      <c r="J1009" s="58" t="e">
        <f>+#REF!+#REF!+#REF!+#REF!</f>
        <v>#REF!</v>
      </c>
      <c r="K1009" s="8"/>
    </row>
    <row r="1010" spans="1:11" s="1" customFormat="1" ht="60" x14ac:dyDescent="0.2">
      <c r="A1010" s="7"/>
      <c r="B1010" s="38">
        <v>45077</v>
      </c>
      <c r="C1010" s="9"/>
      <c r="D1010" s="9" t="s">
        <v>1510</v>
      </c>
      <c r="E1010" s="9" t="s">
        <v>1677</v>
      </c>
      <c r="F1010" s="9" t="s">
        <v>1500</v>
      </c>
      <c r="G1010" s="54">
        <v>156300</v>
      </c>
      <c r="H1010" s="54">
        <v>0</v>
      </c>
      <c r="I1010" s="54">
        <f t="shared" si="41"/>
        <v>156300</v>
      </c>
      <c r="J1010" s="58" t="e">
        <f>+#REF!+#REF!+#REF!+#REF!</f>
        <v>#REF!</v>
      </c>
      <c r="K1010" s="8"/>
    </row>
    <row r="1011" spans="1:11" s="1" customFormat="1" ht="60" x14ac:dyDescent="0.2">
      <c r="A1011" s="7"/>
      <c r="B1011" s="38">
        <v>45077</v>
      </c>
      <c r="C1011" s="9"/>
      <c r="D1011" s="9" t="s">
        <v>1510</v>
      </c>
      <c r="E1011" s="9" t="s">
        <v>1678</v>
      </c>
      <c r="F1011" s="9" t="s">
        <v>1500</v>
      </c>
      <c r="G1011" s="54">
        <v>737500</v>
      </c>
      <c r="H1011" s="54">
        <v>0</v>
      </c>
      <c r="I1011" s="54">
        <f t="shared" si="41"/>
        <v>737500</v>
      </c>
      <c r="J1011" s="58" t="e">
        <f>+#REF!+#REF!+#REF!+#REF!</f>
        <v>#REF!</v>
      </c>
      <c r="K1011" s="8"/>
    </row>
    <row r="1012" spans="1:11" s="1" customFormat="1" ht="60" x14ac:dyDescent="0.2">
      <c r="A1012" s="7"/>
      <c r="B1012" s="38">
        <v>45077</v>
      </c>
      <c r="C1012" s="9"/>
      <c r="D1012" s="9" t="s">
        <v>1510</v>
      </c>
      <c r="E1012" s="9" t="s">
        <v>1679</v>
      </c>
      <c r="F1012" s="9" t="s">
        <v>1500</v>
      </c>
      <c r="G1012" s="54">
        <v>354132</v>
      </c>
      <c r="H1012" s="54">
        <v>0</v>
      </c>
      <c r="I1012" s="54">
        <f t="shared" si="41"/>
        <v>354132</v>
      </c>
      <c r="J1012" s="58" t="e">
        <f>+#REF!+#REF!+#REF!+#REF!</f>
        <v>#REF!</v>
      </c>
      <c r="K1012" s="8"/>
    </row>
    <row r="1013" spans="1:11" s="1" customFormat="1" ht="60" x14ac:dyDescent="0.2">
      <c r="A1013" s="7"/>
      <c r="B1013" s="38">
        <v>45107</v>
      </c>
      <c r="C1013" s="9"/>
      <c r="D1013" s="9" t="s">
        <v>1510</v>
      </c>
      <c r="E1013" s="9" t="s">
        <v>1750</v>
      </c>
      <c r="F1013" s="9" t="s">
        <v>1500</v>
      </c>
      <c r="G1013" s="54">
        <v>306871</v>
      </c>
      <c r="H1013" s="54">
        <v>0</v>
      </c>
      <c r="I1013" s="54">
        <f t="shared" si="41"/>
        <v>306871</v>
      </c>
      <c r="J1013" s="58" t="e">
        <f>+#REF!+#REF!+#REF!+#REF!</f>
        <v>#REF!</v>
      </c>
      <c r="K1013" s="8"/>
    </row>
    <row r="1014" spans="1:11" s="1" customFormat="1" ht="45" x14ac:dyDescent="0.2">
      <c r="A1014" s="7"/>
      <c r="B1014" s="38">
        <v>45107</v>
      </c>
      <c r="C1014" s="9"/>
      <c r="D1014" s="9" t="s">
        <v>1510</v>
      </c>
      <c r="E1014" s="9" t="s">
        <v>1751</v>
      </c>
      <c r="F1014" s="9" t="s">
        <v>1500</v>
      </c>
      <c r="G1014" s="54">
        <v>100481</v>
      </c>
      <c r="H1014" s="54">
        <v>0</v>
      </c>
      <c r="I1014" s="54">
        <f t="shared" si="41"/>
        <v>100481</v>
      </c>
      <c r="J1014" s="58" t="e">
        <f>+#REF!+#REF!+#REF!+#REF!</f>
        <v>#REF!</v>
      </c>
      <c r="K1014" s="8"/>
    </row>
    <row r="1015" spans="1:11" s="1" customFormat="1" ht="21" customHeight="1" x14ac:dyDescent="0.2">
      <c r="A1015" s="7"/>
      <c r="B1015" s="38">
        <v>45107</v>
      </c>
      <c r="C1015" s="9"/>
      <c r="D1015" s="9" t="s">
        <v>1510</v>
      </c>
      <c r="E1015" s="9" t="s">
        <v>1504</v>
      </c>
      <c r="F1015" s="9" t="s">
        <v>1500</v>
      </c>
      <c r="G1015" s="54">
        <v>84000</v>
      </c>
      <c r="H1015" s="54">
        <v>0</v>
      </c>
      <c r="I1015" s="54">
        <f t="shared" si="41"/>
        <v>84000</v>
      </c>
      <c r="J1015" s="58" t="e">
        <f>+#REF!+#REF!+#REF!+#REF!</f>
        <v>#REF!</v>
      </c>
      <c r="K1015" s="8"/>
    </row>
    <row r="1016" spans="1:11" s="1" customFormat="1" ht="30" x14ac:dyDescent="0.2">
      <c r="A1016" s="7"/>
      <c r="B1016" s="38">
        <v>45107</v>
      </c>
      <c r="C1016" s="9"/>
      <c r="D1016" s="9" t="s">
        <v>1510</v>
      </c>
      <c r="E1016" s="9" t="s">
        <v>1723</v>
      </c>
      <c r="F1016" s="9" t="s">
        <v>1500</v>
      </c>
      <c r="G1016" s="54">
        <v>124136.02</v>
      </c>
      <c r="H1016" s="54">
        <v>0</v>
      </c>
      <c r="I1016" s="54">
        <f t="shared" si="41"/>
        <v>124136.02</v>
      </c>
      <c r="J1016" s="58" t="e">
        <f>+#REF!+#REF!+#REF!+#REF!</f>
        <v>#REF!</v>
      </c>
      <c r="K1016" s="8"/>
    </row>
    <row r="1017" spans="1:11" s="1" customFormat="1" ht="30" x14ac:dyDescent="0.2">
      <c r="A1017" s="7"/>
      <c r="B1017" s="38">
        <v>45107</v>
      </c>
      <c r="C1017" s="9"/>
      <c r="D1017" s="9" t="s">
        <v>1510</v>
      </c>
      <c r="E1017" s="9" t="s">
        <v>1505</v>
      </c>
      <c r="F1017" s="9" t="s">
        <v>1500</v>
      </c>
      <c r="G1017" s="54">
        <v>111065.84</v>
      </c>
      <c r="H1017" s="54">
        <v>0</v>
      </c>
      <c r="I1017" s="54">
        <f t="shared" si="41"/>
        <v>111065.84</v>
      </c>
      <c r="J1017" s="58" t="e">
        <f>+#REF!+#REF!+#REF!+#REF!</f>
        <v>#REF!</v>
      </c>
      <c r="K1017" s="8"/>
    </row>
    <row r="1018" spans="1:11" s="1" customFormat="1" ht="30" x14ac:dyDescent="0.2">
      <c r="A1018" s="7"/>
      <c r="B1018" s="38">
        <v>45107</v>
      </c>
      <c r="C1018" s="9"/>
      <c r="D1018" s="9" t="s">
        <v>1510</v>
      </c>
      <c r="E1018" s="9" t="s">
        <v>1724</v>
      </c>
      <c r="F1018" s="9" t="s">
        <v>1500</v>
      </c>
      <c r="G1018" s="54">
        <v>83064.36</v>
      </c>
      <c r="H1018" s="54">
        <v>0</v>
      </c>
      <c r="I1018" s="54">
        <f t="shared" si="41"/>
        <v>83064.36</v>
      </c>
      <c r="J1018" s="58" t="e">
        <f>+#REF!+#REF!+#REF!+#REF!</f>
        <v>#REF!</v>
      </c>
      <c r="K1018" s="8"/>
    </row>
    <row r="1019" spans="1:11" s="1" customFormat="1" ht="60" x14ac:dyDescent="0.2">
      <c r="A1019" s="7"/>
      <c r="B1019" s="38">
        <v>45138</v>
      </c>
      <c r="C1019" s="9"/>
      <c r="D1019" s="9" t="s">
        <v>1510</v>
      </c>
      <c r="E1019" s="9" t="s">
        <v>1794</v>
      </c>
      <c r="F1019" s="9" t="s">
        <v>1500</v>
      </c>
      <c r="G1019" s="54">
        <v>377844</v>
      </c>
      <c r="H1019" s="54">
        <v>0</v>
      </c>
      <c r="I1019" s="54">
        <f t="shared" si="41"/>
        <v>377844</v>
      </c>
      <c r="J1019" s="58" t="e">
        <f>+#REF!+#REF!+#REF!+#REF!</f>
        <v>#REF!</v>
      </c>
      <c r="K1019" s="8"/>
    </row>
    <row r="1020" spans="1:11" s="1" customFormat="1" ht="45" x14ac:dyDescent="0.2">
      <c r="A1020" s="7"/>
      <c r="B1020" s="38">
        <v>45138</v>
      </c>
      <c r="C1020" s="9"/>
      <c r="D1020" s="9" t="s">
        <v>1510</v>
      </c>
      <c r="E1020" s="9" t="s">
        <v>1795</v>
      </c>
      <c r="F1020" s="9" t="s">
        <v>1500</v>
      </c>
      <c r="G1020" s="54">
        <v>94544</v>
      </c>
      <c r="H1020" s="54">
        <v>0</v>
      </c>
      <c r="I1020" s="54">
        <f t="shared" si="41"/>
        <v>94544</v>
      </c>
      <c r="J1020" s="58" t="e">
        <f>+#REF!+#REF!+#REF!+#REF!</f>
        <v>#REF!</v>
      </c>
      <c r="K1020" s="8"/>
    </row>
    <row r="1021" spans="1:11" s="1" customFormat="1" ht="60" x14ac:dyDescent="0.2">
      <c r="A1021" s="7"/>
      <c r="B1021" s="38">
        <v>45169</v>
      </c>
      <c r="C1021" s="9"/>
      <c r="D1021" s="9" t="s">
        <v>1510</v>
      </c>
      <c r="E1021" s="9" t="s">
        <v>1890</v>
      </c>
      <c r="F1021" s="9" t="s">
        <v>1500</v>
      </c>
      <c r="G1021" s="54">
        <v>363059</v>
      </c>
      <c r="H1021" s="54">
        <v>0</v>
      </c>
      <c r="I1021" s="54">
        <f t="shared" si="41"/>
        <v>363059</v>
      </c>
      <c r="J1021" s="58" t="e">
        <f>+#REF!+#REF!+#REF!+#REF!</f>
        <v>#REF!</v>
      </c>
      <c r="K1021" s="8"/>
    </row>
    <row r="1022" spans="1:11" s="1" customFormat="1" ht="45" x14ac:dyDescent="0.2">
      <c r="A1022" s="7"/>
      <c r="B1022" s="38">
        <v>45169</v>
      </c>
      <c r="C1022" s="9"/>
      <c r="D1022" s="9" t="s">
        <v>1510</v>
      </c>
      <c r="E1022" s="9" t="s">
        <v>1891</v>
      </c>
      <c r="F1022" s="9" t="s">
        <v>1500</v>
      </c>
      <c r="G1022" s="54">
        <v>195370</v>
      </c>
      <c r="H1022" s="54">
        <v>0</v>
      </c>
      <c r="I1022" s="54">
        <f t="shared" si="41"/>
        <v>195370</v>
      </c>
      <c r="J1022" s="58" t="e">
        <f>+#REF!+#REF!+#REF!+#REF!</f>
        <v>#REF!</v>
      </c>
      <c r="K1022" s="8"/>
    </row>
    <row r="1023" spans="1:11" s="1" customFormat="1" ht="60" x14ac:dyDescent="0.2">
      <c r="A1023" s="7"/>
      <c r="B1023" s="38">
        <v>45199</v>
      </c>
      <c r="C1023" s="9"/>
      <c r="D1023" s="9" t="s">
        <v>1510</v>
      </c>
      <c r="E1023" s="9" t="s">
        <v>1919</v>
      </c>
      <c r="F1023" s="9" t="s">
        <v>1500</v>
      </c>
      <c r="G1023" s="54">
        <v>291574</v>
      </c>
      <c r="H1023" s="54">
        <v>0</v>
      </c>
      <c r="I1023" s="54">
        <f t="shared" si="41"/>
        <v>291574</v>
      </c>
      <c r="J1023" s="58" t="e">
        <f>+#REF!+#REF!+#REF!+#REF!</f>
        <v>#REF!</v>
      </c>
      <c r="K1023" s="8"/>
    </row>
    <row r="1024" spans="1:11" s="1" customFormat="1" ht="45" x14ac:dyDescent="0.2">
      <c r="A1024" s="7"/>
      <c r="B1024" s="38">
        <v>45199</v>
      </c>
      <c r="C1024" s="9"/>
      <c r="D1024" s="9" t="s">
        <v>1510</v>
      </c>
      <c r="E1024" s="9" t="s">
        <v>1920</v>
      </c>
      <c r="F1024" s="9" t="s">
        <v>1500</v>
      </c>
      <c r="G1024" s="54">
        <v>76983</v>
      </c>
      <c r="H1024" s="54">
        <v>0</v>
      </c>
      <c r="I1024" s="54">
        <f t="shared" si="41"/>
        <v>76983</v>
      </c>
      <c r="J1024" s="58" t="e">
        <f>+#REF!+#REF!+#REF!+#REF!</f>
        <v>#REF!</v>
      </c>
      <c r="K1024" s="8"/>
    </row>
    <row r="1025" spans="1:11" s="1" customFormat="1" ht="60" x14ac:dyDescent="0.2">
      <c r="A1025" s="7"/>
      <c r="B1025" s="38">
        <v>45230</v>
      </c>
      <c r="C1025" s="9"/>
      <c r="D1025" s="9" t="s">
        <v>1510</v>
      </c>
      <c r="E1025" s="9" t="s">
        <v>2041</v>
      </c>
      <c r="F1025" s="9" t="s">
        <v>1500</v>
      </c>
      <c r="G1025" s="54">
        <v>338410</v>
      </c>
      <c r="H1025" s="54">
        <v>0</v>
      </c>
      <c r="I1025" s="54">
        <f t="shared" si="41"/>
        <v>338410</v>
      </c>
      <c r="J1025" s="58" t="e">
        <f>+#REF!+#REF!+#REF!+#REF!</f>
        <v>#REF!</v>
      </c>
      <c r="K1025" s="8"/>
    </row>
    <row r="1026" spans="1:11" s="1" customFormat="1" ht="45" x14ac:dyDescent="0.2">
      <c r="A1026" s="7"/>
      <c r="B1026" s="38">
        <v>45230</v>
      </c>
      <c r="C1026" s="9"/>
      <c r="D1026" s="9" t="s">
        <v>1510</v>
      </c>
      <c r="E1026" s="9" t="s">
        <v>2042</v>
      </c>
      <c r="F1026" s="9" t="s">
        <v>1500</v>
      </c>
      <c r="G1026" s="54">
        <v>79647</v>
      </c>
      <c r="H1026" s="54">
        <v>0</v>
      </c>
      <c r="I1026" s="54">
        <f t="shared" si="41"/>
        <v>79647</v>
      </c>
      <c r="J1026" s="58" t="e">
        <f>+#REF!+#REF!+#REF!+#REF!</f>
        <v>#REF!</v>
      </c>
      <c r="K1026" s="8"/>
    </row>
    <row r="1027" spans="1:11" s="1" customFormat="1" ht="60" x14ac:dyDescent="0.2">
      <c r="A1027" s="7"/>
      <c r="B1027" s="38">
        <v>45260</v>
      </c>
      <c r="C1027" s="9"/>
      <c r="D1027" s="9" t="s">
        <v>1510</v>
      </c>
      <c r="E1027" s="9" t="s">
        <v>2055</v>
      </c>
      <c r="F1027" s="9" t="s">
        <v>1500</v>
      </c>
      <c r="G1027" s="54">
        <v>354753</v>
      </c>
      <c r="H1027" s="54">
        <v>0</v>
      </c>
      <c r="I1027" s="54">
        <f t="shared" si="41"/>
        <v>354753</v>
      </c>
      <c r="J1027" s="58" t="e">
        <f>+#REF!+#REF!+#REF!+#REF!</f>
        <v>#REF!</v>
      </c>
      <c r="K1027" s="8"/>
    </row>
    <row r="1028" spans="1:11" s="1" customFormat="1" ht="60" x14ac:dyDescent="0.2">
      <c r="A1028" s="7"/>
      <c r="B1028" s="38">
        <v>45291</v>
      </c>
      <c r="C1028" s="9"/>
      <c r="D1028" s="9" t="s">
        <v>1510</v>
      </c>
      <c r="E1028" s="9" t="s">
        <v>2103</v>
      </c>
      <c r="F1028" s="9" t="s">
        <v>1500</v>
      </c>
      <c r="G1028" s="54">
        <v>429362</v>
      </c>
      <c r="H1028" s="54">
        <v>0</v>
      </c>
      <c r="I1028" s="54">
        <f t="shared" si="41"/>
        <v>429362</v>
      </c>
      <c r="J1028" s="58" t="e">
        <f>+#REF!+#REF!+#REF!+#REF!</f>
        <v>#REF!</v>
      </c>
      <c r="K1028" s="8"/>
    </row>
    <row r="1029" spans="1:11" s="28" customFormat="1" ht="15.75" x14ac:dyDescent="0.25">
      <c r="A1029" s="25"/>
      <c r="B1029" s="26"/>
      <c r="C1029" s="27"/>
      <c r="D1029" s="27"/>
      <c r="E1029" s="27"/>
      <c r="F1029" s="27" t="s">
        <v>593</v>
      </c>
      <c r="G1029" s="24">
        <f>SUM(G991:G1028)</f>
        <v>17318579.899999999</v>
      </c>
      <c r="H1029" s="24">
        <f t="shared" ref="H1029:I1029" si="42">SUM(H991:H1028)</f>
        <v>0</v>
      </c>
      <c r="I1029" s="24">
        <f t="shared" si="42"/>
        <v>17318579.899999999</v>
      </c>
      <c r="J1029" s="58" t="e">
        <f>+#REF!+#REF!+#REF!+#REF!</f>
        <v>#REF!</v>
      </c>
      <c r="K1029" s="8"/>
    </row>
    <row r="1030" spans="1:11" s="42" customFormat="1" ht="31.5" x14ac:dyDescent="0.25">
      <c r="A1030" s="13"/>
      <c r="B1030" s="40"/>
      <c r="C1030" s="41"/>
      <c r="D1030" s="41"/>
      <c r="E1030" s="30" t="s">
        <v>1501</v>
      </c>
      <c r="F1030" s="41"/>
      <c r="G1030" s="14"/>
      <c r="H1030" s="14"/>
      <c r="I1030" s="14"/>
      <c r="J1030" s="58" t="e">
        <f>+#REF!+#REF!+#REF!+#REF!</f>
        <v>#REF!</v>
      </c>
      <c r="K1030" s="8"/>
    </row>
    <row r="1031" spans="1:11" s="42" customFormat="1" ht="30" x14ac:dyDescent="0.25">
      <c r="A1031" s="13"/>
      <c r="B1031" s="38">
        <v>44834</v>
      </c>
      <c r="C1031" s="38"/>
      <c r="D1031" s="9" t="s">
        <v>1502</v>
      </c>
      <c r="E1031" s="9" t="s">
        <v>1501</v>
      </c>
      <c r="F1031" s="38" t="s">
        <v>1643</v>
      </c>
      <c r="G1031" s="54">
        <v>36986</v>
      </c>
      <c r="H1031" s="54"/>
      <c r="I1031" s="54">
        <f t="shared" ref="I1031:I1091" si="43">+G1031+H1031</f>
        <v>36986</v>
      </c>
      <c r="J1031" s="58" t="e">
        <f>+#REF!+#REF!+#REF!+#REF!</f>
        <v>#REF!</v>
      </c>
      <c r="K1031" s="8"/>
    </row>
    <row r="1032" spans="1:11" s="42" customFormat="1" ht="30" x14ac:dyDescent="0.25">
      <c r="A1032" s="13"/>
      <c r="B1032" s="38">
        <v>44834</v>
      </c>
      <c r="C1032" s="38"/>
      <c r="D1032" s="9" t="s">
        <v>1502</v>
      </c>
      <c r="E1032" s="9" t="s">
        <v>1501</v>
      </c>
      <c r="F1032" s="38" t="s">
        <v>1644</v>
      </c>
      <c r="G1032" s="54">
        <v>29589</v>
      </c>
      <c r="H1032" s="54"/>
      <c r="I1032" s="54">
        <f t="shared" si="43"/>
        <v>29589</v>
      </c>
      <c r="J1032" s="58" t="e">
        <f>+#REF!+#REF!+#REF!+#REF!</f>
        <v>#REF!</v>
      </c>
      <c r="K1032" s="8"/>
    </row>
    <row r="1033" spans="1:11" s="42" customFormat="1" ht="30" x14ac:dyDescent="0.25">
      <c r="A1033" s="13"/>
      <c r="B1033" s="38">
        <v>44865</v>
      </c>
      <c r="C1033" s="38"/>
      <c r="D1033" s="9" t="s">
        <v>1502</v>
      </c>
      <c r="E1033" s="9" t="s">
        <v>1501</v>
      </c>
      <c r="F1033" s="38" t="s">
        <v>1643</v>
      </c>
      <c r="G1033" s="54">
        <f>152876/2</f>
        <v>76438</v>
      </c>
      <c r="H1033" s="54"/>
      <c r="I1033" s="54">
        <f t="shared" si="43"/>
        <v>76438</v>
      </c>
      <c r="J1033" s="58" t="e">
        <f>+#REF!+#REF!+#REF!+#REF!</f>
        <v>#REF!</v>
      </c>
      <c r="K1033" s="8"/>
    </row>
    <row r="1034" spans="1:11" s="42" customFormat="1" ht="30" x14ac:dyDescent="0.25">
      <c r="A1034" s="13"/>
      <c r="B1034" s="38">
        <v>44865</v>
      </c>
      <c r="C1034" s="38"/>
      <c r="D1034" s="9" t="s">
        <v>1502</v>
      </c>
      <c r="E1034" s="9" t="s">
        <v>1501</v>
      </c>
      <c r="F1034" s="38" t="s">
        <v>1644</v>
      </c>
      <c r="G1034" s="54">
        <f>152876/2</f>
        <v>76438</v>
      </c>
      <c r="H1034" s="54"/>
      <c r="I1034" s="54">
        <f t="shared" si="43"/>
        <v>76438</v>
      </c>
      <c r="J1034" s="58" t="e">
        <f>+#REF!+#REF!+#REF!+#REF!</f>
        <v>#REF!</v>
      </c>
      <c r="K1034" s="8"/>
    </row>
    <row r="1035" spans="1:11" s="42" customFormat="1" ht="30" x14ac:dyDescent="0.25">
      <c r="A1035" s="13"/>
      <c r="B1035" s="38">
        <v>44895</v>
      </c>
      <c r="C1035" s="38"/>
      <c r="D1035" s="9" t="s">
        <v>1502</v>
      </c>
      <c r="E1035" s="9" t="s">
        <v>1501</v>
      </c>
      <c r="F1035" s="38" t="s">
        <v>1643</v>
      </c>
      <c r="G1035" s="54">
        <f>147946/2</f>
        <v>73973</v>
      </c>
      <c r="H1035" s="54"/>
      <c r="I1035" s="54">
        <f t="shared" si="43"/>
        <v>73973</v>
      </c>
      <c r="J1035" s="58" t="e">
        <f>+#REF!+#REF!+#REF!+#REF!</f>
        <v>#REF!</v>
      </c>
      <c r="K1035" s="8"/>
    </row>
    <row r="1036" spans="1:11" s="42" customFormat="1" ht="30" x14ac:dyDescent="0.25">
      <c r="A1036" s="13"/>
      <c r="B1036" s="38">
        <v>44895</v>
      </c>
      <c r="C1036" s="38"/>
      <c r="D1036" s="9" t="s">
        <v>1502</v>
      </c>
      <c r="E1036" s="9" t="s">
        <v>1501</v>
      </c>
      <c r="F1036" s="38" t="s">
        <v>1644</v>
      </c>
      <c r="G1036" s="54">
        <f>147946/2</f>
        <v>73973</v>
      </c>
      <c r="H1036" s="54"/>
      <c r="I1036" s="54">
        <f t="shared" si="43"/>
        <v>73973</v>
      </c>
      <c r="J1036" s="58" t="e">
        <f>+#REF!+#REF!+#REF!+#REF!</f>
        <v>#REF!</v>
      </c>
      <c r="K1036" s="8"/>
    </row>
    <row r="1037" spans="1:11" s="42" customFormat="1" ht="30" x14ac:dyDescent="0.25">
      <c r="A1037" s="13"/>
      <c r="B1037" s="38">
        <v>44926</v>
      </c>
      <c r="C1037" s="38"/>
      <c r="D1037" s="9" t="s">
        <v>1502</v>
      </c>
      <c r="E1037" s="9" t="s">
        <v>1501</v>
      </c>
      <c r="F1037" s="38" t="s">
        <v>1643</v>
      </c>
      <c r="G1037" s="54">
        <f>152876/2</f>
        <v>76438</v>
      </c>
      <c r="H1037" s="54"/>
      <c r="I1037" s="54">
        <f t="shared" si="43"/>
        <v>76438</v>
      </c>
      <c r="J1037" s="58" t="e">
        <f>+#REF!+#REF!+#REF!+#REF!</f>
        <v>#REF!</v>
      </c>
      <c r="K1037" s="8"/>
    </row>
    <row r="1038" spans="1:11" s="42" customFormat="1" ht="30" x14ac:dyDescent="0.25">
      <c r="A1038" s="13"/>
      <c r="B1038" s="38">
        <v>44926</v>
      </c>
      <c r="C1038" s="38"/>
      <c r="D1038" s="9" t="s">
        <v>1502</v>
      </c>
      <c r="E1038" s="9" t="s">
        <v>1501</v>
      </c>
      <c r="F1038" s="38" t="s">
        <v>1644</v>
      </c>
      <c r="G1038" s="54">
        <f>152876/2</f>
        <v>76438</v>
      </c>
      <c r="H1038" s="54"/>
      <c r="I1038" s="54">
        <f t="shared" si="43"/>
        <v>76438</v>
      </c>
      <c r="J1038" s="58" t="e">
        <f>+#REF!+#REF!+#REF!+#REF!</f>
        <v>#REF!</v>
      </c>
      <c r="K1038" s="8"/>
    </row>
    <row r="1039" spans="1:11" s="42" customFormat="1" ht="30" x14ac:dyDescent="0.25">
      <c r="A1039" s="13"/>
      <c r="B1039" s="38">
        <v>44957</v>
      </c>
      <c r="C1039" s="38"/>
      <c r="D1039" s="9" t="s">
        <v>1502</v>
      </c>
      <c r="E1039" s="9" t="s">
        <v>1501</v>
      </c>
      <c r="F1039" s="38" t="s">
        <v>1643</v>
      </c>
      <c r="G1039" s="54">
        <f>152876/2</f>
        <v>76438</v>
      </c>
      <c r="H1039" s="54"/>
      <c r="I1039" s="54">
        <f t="shared" si="43"/>
        <v>76438</v>
      </c>
      <c r="J1039" s="58" t="e">
        <f>+#REF!+#REF!+#REF!+#REF!</f>
        <v>#REF!</v>
      </c>
      <c r="K1039" s="8"/>
    </row>
    <row r="1040" spans="1:11" s="42" customFormat="1" ht="30" x14ac:dyDescent="0.25">
      <c r="A1040" s="13"/>
      <c r="B1040" s="38">
        <v>44957</v>
      </c>
      <c r="C1040" s="38"/>
      <c r="D1040" s="9" t="s">
        <v>1502</v>
      </c>
      <c r="E1040" s="9" t="s">
        <v>1501</v>
      </c>
      <c r="F1040" s="38" t="s">
        <v>1644</v>
      </c>
      <c r="G1040" s="54">
        <f>152876/2</f>
        <v>76438</v>
      </c>
      <c r="H1040" s="54"/>
      <c r="I1040" s="54">
        <f t="shared" si="43"/>
        <v>76438</v>
      </c>
      <c r="J1040" s="58" t="e">
        <f>+#REF!+#REF!+#REF!+#REF!</f>
        <v>#REF!</v>
      </c>
      <c r="K1040" s="8"/>
    </row>
    <row r="1041" spans="1:11" s="42" customFormat="1" ht="30" x14ac:dyDescent="0.25">
      <c r="A1041" s="13"/>
      <c r="B1041" s="38">
        <v>44985</v>
      </c>
      <c r="C1041" s="38"/>
      <c r="D1041" s="9" t="s">
        <v>1502</v>
      </c>
      <c r="E1041" s="9" t="s">
        <v>1501</v>
      </c>
      <c r="F1041" s="38" t="s">
        <v>1643</v>
      </c>
      <c r="G1041" s="54">
        <v>69041</v>
      </c>
      <c r="H1041" s="54">
        <v>0</v>
      </c>
      <c r="I1041" s="54">
        <f t="shared" si="43"/>
        <v>69041</v>
      </c>
      <c r="J1041" s="58" t="e">
        <f>+#REF!+#REF!+#REF!+#REF!</f>
        <v>#REF!</v>
      </c>
      <c r="K1041" s="8"/>
    </row>
    <row r="1042" spans="1:11" s="42" customFormat="1" ht="30" x14ac:dyDescent="0.25">
      <c r="A1042" s="13"/>
      <c r="B1042" s="38">
        <v>44985</v>
      </c>
      <c r="C1042" s="38"/>
      <c r="D1042" s="9" t="s">
        <v>1502</v>
      </c>
      <c r="E1042" s="9" t="s">
        <v>1501</v>
      </c>
      <c r="F1042" s="38" t="s">
        <v>1644</v>
      </c>
      <c r="G1042" s="54">
        <v>69041</v>
      </c>
      <c r="H1042" s="54">
        <v>0</v>
      </c>
      <c r="I1042" s="54">
        <f t="shared" si="43"/>
        <v>69041</v>
      </c>
      <c r="J1042" s="58" t="e">
        <f>+#REF!+#REF!+#REF!+#REF!</f>
        <v>#REF!</v>
      </c>
      <c r="K1042" s="8"/>
    </row>
    <row r="1043" spans="1:11" s="1" customFormat="1" ht="30" x14ac:dyDescent="0.2">
      <c r="A1043" s="7"/>
      <c r="B1043" s="38">
        <v>45016</v>
      </c>
      <c r="C1043" s="9"/>
      <c r="D1043" s="9" t="s">
        <v>1502</v>
      </c>
      <c r="E1043" s="9" t="s">
        <v>1501</v>
      </c>
      <c r="F1043" s="9" t="s">
        <v>870</v>
      </c>
      <c r="G1043" s="54">
        <v>76989</v>
      </c>
      <c r="H1043" s="54">
        <v>0</v>
      </c>
      <c r="I1043" s="54">
        <f t="shared" si="43"/>
        <v>76989</v>
      </c>
      <c r="J1043" s="58" t="e">
        <f>+#REF!+#REF!+#REF!+#REF!</f>
        <v>#REF!</v>
      </c>
      <c r="K1043" s="8"/>
    </row>
    <row r="1044" spans="1:11" s="1" customFormat="1" ht="30" x14ac:dyDescent="0.2">
      <c r="A1044" s="7"/>
      <c r="B1044" s="38">
        <v>45016</v>
      </c>
      <c r="C1044" s="9"/>
      <c r="D1044" s="9" t="s">
        <v>1502</v>
      </c>
      <c r="E1044" s="9" t="s">
        <v>1501</v>
      </c>
      <c r="F1044" s="9" t="s">
        <v>1511</v>
      </c>
      <c r="G1044" s="54">
        <v>277959</v>
      </c>
      <c r="H1044" s="54">
        <v>0</v>
      </c>
      <c r="I1044" s="54">
        <f t="shared" si="43"/>
        <v>277959</v>
      </c>
      <c r="J1044" s="58" t="e">
        <f>+#REF!+#REF!+#REF!+#REF!</f>
        <v>#REF!</v>
      </c>
      <c r="K1044" s="8"/>
    </row>
    <row r="1045" spans="1:11" s="1" customFormat="1" ht="30" x14ac:dyDescent="0.2">
      <c r="A1045" s="7"/>
      <c r="B1045" s="38">
        <v>45016</v>
      </c>
      <c r="C1045" s="9"/>
      <c r="D1045" s="9" t="s">
        <v>1502</v>
      </c>
      <c r="E1045" s="9" t="s">
        <v>1501</v>
      </c>
      <c r="F1045" s="9" t="s">
        <v>1512</v>
      </c>
      <c r="G1045" s="54">
        <v>293375</v>
      </c>
      <c r="H1045" s="54">
        <v>0</v>
      </c>
      <c r="I1045" s="54">
        <f t="shared" si="43"/>
        <v>293375</v>
      </c>
      <c r="J1045" s="58" t="e">
        <f>+#REF!+#REF!+#REF!+#REF!</f>
        <v>#REF!</v>
      </c>
      <c r="K1045" s="8"/>
    </row>
    <row r="1046" spans="1:11" s="1" customFormat="1" ht="30" x14ac:dyDescent="0.2">
      <c r="A1046" s="7"/>
      <c r="B1046" s="38">
        <v>45016</v>
      </c>
      <c r="C1046" s="9"/>
      <c r="D1046" s="9" t="s">
        <v>1502</v>
      </c>
      <c r="E1046" s="9" t="s">
        <v>1501</v>
      </c>
      <c r="F1046" s="9" t="s">
        <v>1680</v>
      </c>
      <c r="G1046" s="54">
        <v>3099</v>
      </c>
      <c r="H1046" s="54"/>
      <c r="I1046" s="54">
        <f t="shared" si="43"/>
        <v>3099</v>
      </c>
      <c r="J1046" s="58" t="e">
        <f>+#REF!+#REF!+#REF!+#REF!</f>
        <v>#REF!</v>
      </c>
      <c r="K1046" s="8"/>
    </row>
    <row r="1047" spans="1:11" s="1" customFormat="1" ht="30" x14ac:dyDescent="0.2">
      <c r="A1047" s="7"/>
      <c r="B1047" s="38">
        <v>45016</v>
      </c>
      <c r="C1047" s="9"/>
      <c r="D1047" s="9" t="s">
        <v>1502</v>
      </c>
      <c r="E1047" s="9" t="s">
        <v>1501</v>
      </c>
      <c r="F1047" s="9" t="s">
        <v>877</v>
      </c>
      <c r="G1047" s="54">
        <v>29925</v>
      </c>
      <c r="H1047" s="54">
        <v>0</v>
      </c>
      <c r="I1047" s="54">
        <f t="shared" si="43"/>
        <v>29925</v>
      </c>
      <c r="J1047" s="58" t="e">
        <f>+#REF!+#REF!+#REF!+#REF!</f>
        <v>#REF!</v>
      </c>
      <c r="K1047" s="8"/>
    </row>
    <row r="1048" spans="1:11" s="1" customFormat="1" ht="30" x14ac:dyDescent="0.2">
      <c r="A1048" s="7"/>
      <c r="B1048" s="38">
        <v>45016</v>
      </c>
      <c r="C1048" s="9"/>
      <c r="D1048" s="9" t="s">
        <v>1502</v>
      </c>
      <c r="E1048" s="9" t="s">
        <v>1501</v>
      </c>
      <c r="F1048" s="9" t="s">
        <v>1643</v>
      </c>
      <c r="G1048" s="54">
        <v>76438</v>
      </c>
      <c r="H1048" s="54">
        <v>0</v>
      </c>
      <c r="I1048" s="54">
        <f t="shared" si="43"/>
        <v>76438</v>
      </c>
      <c r="J1048" s="58" t="e">
        <f>+#REF!+#REF!+#REF!+#REF!</f>
        <v>#REF!</v>
      </c>
      <c r="K1048" s="8"/>
    </row>
    <row r="1049" spans="1:11" s="1" customFormat="1" ht="30" x14ac:dyDescent="0.2">
      <c r="A1049" s="7"/>
      <c r="B1049" s="38">
        <v>45016</v>
      </c>
      <c r="C1049" s="9"/>
      <c r="D1049" s="9" t="s">
        <v>1502</v>
      </c>
      <c r="E1049" s="9" t="s">
        <v>1501</v>
      </c>
      <c r="F1049" s="9" t="s">
        <v>1644</v>
      </c>
      <c r="G1049" s="54">
        <v>76438</v>
      </c>
      <c r="H1049" s="54">
        <v>0</v>
      </c>
      <c r="I1049" s="54">
        <f t="shared" si="43"/>
        <v>76438</v>
      </c>
      <c r="J1049" s="58" t="e">
        <f>+#REF!+#REF!+#REF!+#REF!</f>
        <v>#REF!</v>
      </c>
      <c r="K1049" s="8"/>
    </row>
    <row r="1050" spans="1:11" s="1" customFormat="1" ht="30" x14ac:dyDescent="0.2">
      <c r="A1050" s="7"/>
      <c r="B1050" s="38">
        <v>45046</v>
      </c>
      <c r="C1050" s="9"/>
      <c r="D1050" s="9" t="s">
        <v>1502</v>
      </c>
      <c r="E1050" s="9" t="s">
        <v>1501</v>
      </c>
      <c r="F1050" s="9" t="s">
        <v>1640</v>
      </c>
      <c r="G1050" s="54">
        <v>4521</v>
      </c>
      <c r="H1050" s="54">
        <v>0</v>
      </c>
      <c r="I1050" s="54">
        <f t="shared" si="43"/>
        <v>4521</v>
      </c>
      <c r="J1050" s="58" t="e">
        <f>+#REF!+#REF!+#REF!+#REF!</f>
        <v>#REF!</v>
      </c>
      <c r="K1050" s="8"/>
    </row>
    <row r="1051" spans="1:11" s="1" customFormat="1" ht="30" x14ac:dyDescent="0.2">
      <c r="A1051" s="7"/>
      <c r="B1051" s="38">
        <v>45046</v>
      </c>
      <c r="C1051" s="9"/>
      <c r="D1051" s="9" t="s">
        <v>1502</v>
      </c>
      <c r="E1051" s="9" t="s">
        <v>1501</v>
      </c>
      <c r="F1051" s="9" t="s">
        <v>1641</v>
      </c>
      <c r="G1051" s="54">
        <v>4866</v>
      </c>
      <c r="H1051" s="54">
        <v>0</v>
      </c>
      <c r="I1051" s="54">
        <f t="shared" si="43"/>
        <v>4866</v>
      </c>
      <c r="J1051" s="58" t="e">
        <f>+#REF!+#REF!+#REF!+#REF!</f>
        <v>#REF!</v>
      </c>
      <c r="K1051" s="8"/>
    </row>
    <row r="1052" spans="1:11" s="1" customFormat="1" ht="30" x14ac:dyDescent="0.2">
      <c r="A1052" s="7"/>
      <c r="B1052" s="38">
        <v>45046</v>
      </c>
      <c r="C1052" s="9"/>
      <c r="D1052" s="9" t="s">
        <v>1502</v>
      </c>
      <c r="E1052" s="9" t="s">
        <v>1501</v>
      </c>
      <c r="F1052" s="9" t="s">
        <v>1642</v>
      </c>
      <c r="G1052" s="54">
        <v>7897</v>
      </c>
      <c r="H1052" s="54">
        <v>0</v>
      </c>
      <c r="I1052" s="54">
        <f t="shared" si="43"/>
        <v>7897</v>
      </c>
      <c r="J1052" s="58" t="e">
        <f>+#REF!+#REF!+#REF!+#REF!</f>
        <v>#REF!</v>
      </c>
      <c r="K1052" s="8"/>
    </row>
    <row r="1053" spans="1:11" s="1" customFormat="1" ht="30" x14ac:dyDescent="0.2">
      <c r="A1053" s="7"/>
      <c r="B1053" s="38">
        <v>45046</v>
      </c>
      <c r="C1053" s="9"/>
      <c r="D1053" s="9" t="s">
        <v>1502</v>
      </c>
      <c r="E1053" s="9" t="s">
        <v>1501</v>
      </c>
      <c r="F1053" s="9" t="s">
        <v>1643</v>
      </c>
      <c r="G1053" s="54">
        <v>73973</v>
      </c>
      <c r="H1053" s="54">
        <v>0</v>
      </c>
      <c r="I1053" s="54">
        <f t="shared" si="43"/>
        <v>73973</v>
      </c>
      <c r="J1053" s="58" t="e">
        <f>+#REF!+#REF!+#REF!+#REF!</f>
        <v>#REF!</v>
      </c>
      <c r="K1053" s="8"/>
    </row>
    <row r="1054" spans="1:11" s="1" customFormat="1" ht="30" x14ac:dyDescent="0.2">
      <c r="A1054" s="7"/>
      <c r="B1054" s="38">
        <v>45046</v>
      </c>
      <c r="C1054" s="9"/>
      <c r="D1054" s="9" t="s">
        <v>1502</v>
      </c>
      <c r="E1054" s="9" t="s">
        <v>1501</v>
      </c>
      <c r="F1054" s="9" t="s">
        <v>1644</v>
      </c>
      <c r="G1054" s="54">
        <v>73973</v>
      </c>
      <c r="H1054" s="54">
        <v>0</v>
      </c>
      <c r="I1054" s="54">
        <f t="shared" si="43"/>
        <v>73973</v>
      </c>
      <c r="J1054" s="58" t="e">
        <f>+#REF!+#REF!+#REF!+#REF!</f>
        <v>#REF!</v>
      </c>
      <c r="K1054" s="8"/>
    </row>
    <row r="1055" spans="1:11" s="1" customFormat="1" ht="30" x14ac:dyDescent="0.2">
      <c r="A1055" s="7"/>
      <c r="B1055" s="38">
        <v>45077</v>
      </c>
      <c r="C1055" s="9"/>
      <c r="D1055" s="9" t="s">
        <v>1502</v>
      </c>
      <c r="E1055" s="9" t="s">
        <v>1501</v>
      </c>
      <c r="F1055" s="9" t="s">
        <v>1680</v>
      </c>
      <c r="G1055" s="54">
        <f>27458+10679</f>
        <v>38137</v>
      </c>
      <c r="H1055" s="54">
        <v>0</v>
      </c>
      <c r="I1055" s="54">
        <f t="shared" si="43"/>
        <v>38137</v>
      </c>
      <c r="J1055" s="58" t="e">
        <f>+#REF!+#REF!+#REF!+#REF!</f>
        <v>#REF!</v>
      </c>
      <c r="K1055" s="8"/>
    </row>
    <row r="1056" spans="1:11" s="1" customFormat="1" ht="30" x14ac:dyDescent="0.2">
      <c r="A1056" s="7"/>
      <c r="B1056" s="38">
        <v>45077</v>
      </c>
      <c r="C1056" s="9"/>
      <c r="D1056" s="9" t="s">
        <v>1502</v>
      </c>
      <c r="E1056" s="9" t="s">
        <v>1501</v>
      </c>
      <c r="F1056" s="9" t="s">
        <v>870</v>
      </c>
      <c r="G1056" s="54">
        <f>66775+23945</f>
        <v>90720</v>
      </c>
      <c r="H1056" s="54">
        <v>0</v>
      </c>
      <c r="I1056" s="54">
        <f t="shared" si="43"/>
        <v>90720</v>
      </c>
      <c r="J1056" s="58" t="e">
        <f>+#REF!+#REF!+#REF!+#REF!</f>
        <v>#REF!</v>
      </c>
      <c r="K1056" s="8"/>
    </row>
    <row r="1057" spans="1:11" s="1" customFormat="1" ht="30" x14ac:dyDescent="0.2">
      <c r="A1057" s="7"/>
      <c r="B1057" s="38">
        <v>45077</v>
      </c>
      <c r="C1057" s="9"/>
      <c r="D1057" s="9" t="s">
        <v>1502</v>
      </c>
      <c r="E1057" s="9" t="s">
        <v>1501</v>
      </c>
      <c r="F1057" s="9" t="s">
        <v>1511</v>
      </c>
      <c r="G1057" s="54">
        <f>69844+15038</f>
        <v>84882</v>
      </c>
      <c r="H1057" s="54">
        <v>0</v>
      </c>
      <c r="I1057" s="54">
        <f t="shared" si="43"/>
        <v>84882</v>
      </c>
      <c r="J1057" s="58" t="e">
        <f>+#REF!+#REF!+#REF!+#REF!</f>
        <v>#REF!</v>
      </c>
      <c r="K1057" s="8"/>
    </row>
    <row r="1058" spans="1:11" s="1" customFormat="1" ht="30" x14ac:dyDescent="0.2">
      <c r="A1058" s="7"/>
      <c r="B1058" s="38">
        <v>45077</v>
      </c>
      <c r="C1058" s="9"/>
      <c r="D1058" s="9" t="s">
        <v>1502</v>
      </c>
      <c r="E1058" s="9" t="s">
        <v>1501</v>
      </c>
      <c r="F1058" s="9" t="s">
        <v>1512</v>
      </c>
      <c r="G1058" s="54">
        <f>53209+11744</f>
        <v>64953</v>
      </c>
      <c r="H1058" s="54">
        <v>0</v>
      </c>
      <c r="I1058" s="54">
        <f t="shared" si="43"/>
        <v>64953</v>
      </c>
      <c r="J1058" s="58" t="e">
        <f>+#REF!+#REF!+#REF!+#REF!</f>
        <v>#REF!</v>
      </c>
      <c r="K1058" s="8"/>
    </row>
    <row r="1059" spans="1:11" s="1" customFormat="1" ht="30" x14ac:dyDescent="0.2">
      <c r="A1059" s="7"/>
      <c r="B1059" s="38">
        <v>45077</v>
      </c>
      <c r="C1059" s="9"/>
      <c r="D1059" s="9" t="s">
        <v>1502</v>
      </c>
      <c r="E1059" s="9" t="s">
        <v>1501</v>
      </c>
      <c r="F1059" s="9" t="s">
        <v>1640</v>
      </c>
      <c r="G1059" s="54">
        <v>8190</v>
      </c>
      <c r="H1059" s="54">
        <v>0</v>
      </c>
      <c r="I1059" s="54">
        <f t="shared" si="43"/>
        <v>8190</v>
      </c>
      <c r="J1059" s="58" t="e">
        <f>+#REF!+#REF!+#REF!+#REF!</f>
        <v>#REF!</v>
      </c>
      <c r="K1059" s="8"/>
    </row>
    <row r="1060" spans="1:11" s="1" customFormat="1" ht="30" x14ac:dyDescent="0.2">
      <c r="A1060" s="7"/>
      <c r="B1060" s="38">
        <v>45077</v>
      </c>
      <c r="C1060" s="9"/>
      <c r="D1060" s="9" t="s">
        <v>1502</v>
      </c>
      <c r="E1060" s="9" t="s">
        <v>1501</v>
      </c>
      <c r="F1060" s="9" t="s">
        <v>1641</v>
      </c>
      <c r="G1060" s="54">
        <v>2748</v>
      </c>
      <c r="H1060" s="54">
        <v>0</v>
      </c>
      <c r="I1060" s="54">
        <f t="shared" si="43"/>
        <v>2748</v>
      </c>
      <c r="J1060" s="58" t="e">
        <f>+#REF!+#REF!+#REF!+#REF!</f>
        <v>#REF!</v>
      </c>
      <c r="K1060" s="8"/>
    </row>
    <row r="1061" spans="1:11" s="1" customFormat="1" ht="30" x14ac:dyDescent="0.2">
      <c r="A1061" s="7"/>
      <c r="B1061" s="38">
        <v>45077</v>
      </c>
      <c r="C1061" s="9"/>
      <c r="D1061" s="9" t="s">
        <v>1502</v>
      </c>
      <c r="E1061" s="9" t="s">
        <v>1501</v>
      </c>
      <c r="F1061" s="9" t="s">
        <v>1681</v>
      </c>
      <c r="G1061" s="54">
        <v>15681</v>
      </c>
      <c r="H1061" s="54">
        <v>0</v>
      </c>
      <c r="I1061" s="54">
        <f t="shared" si="43"/>
        <v>15681</v>
      </c>
      <c r="J1061" s="58" t="e">
        <f>+#REF!+#REF!+#REF!+#REF!</f>
        <v>#REF!</v>
      </c>
      <c r="K1061" s="8"/>
    </row>
    <row r="1062" spans="1:11" s="1" customFormat="1" ht="30" x14ac:dyDescent="0.2">
      <c r="A1062" s="7"/>
      <c r="B1062" s="38">
        <v>45077</v>
      </c>
      <c r="C1062" s="9"/>
      <c r="D1062" s="9" t="s">
        <v>1502</v>
      </c>
      <c r="E1062" s="9" t="s">
        <v>1501</v>
      </c>
      <c r="F1062" s="9" t="s">
        <v>877</v>
      </c>
      <c r="G1062" s="54">
        <v>33825</v>
      </c>
      <c r="H1062" s="54">
        <v>0</v>
      </c>
      <c r="I1062" s="54">
        <f t="shared" si="43"/>
        <v>33825</v>
      </c>
      <c r="J1062" s="58" t="e">
        <f>+#REF!+#REF!+#REF!+#REF!</f>
        <v>#REF!</v>
      </c>
      <c r="K1062" s="8"/>
    </row>
    <row r="1063" spans="1:11" s="1" customFormat="1" ht="30" x14ac:dyDescent="0.2">
      <c r="A1063" s="7"/>
      <c r="B1063" s="38">
        <v>45077</v>
      </c>
      <c r="C1063" s="9"/>
      <c r="D1063" s="9" t="s">
        <v>1502</v>
      </c>
      <c r="E1063" s="9" t="s">
        <v>1501</v>
      </c>
      <c r="F1063" s="9" t="s">
        <v>1682</v>
      </c>
      <c r="G1063" s="54">
        <v>18965</v>
      </c>
      <c r="H1063" s="54">
        <v>0</v>
      </c>
      <c r="I1063" s="54">
        <f t="shared" si="43"/>
        <v>18965</v>
      </c>
      <c r="J1063" s="58" t="e">
        <f>+#REF!+#REF!+#REF!+#REF!</f>
        <v>#REF!</v>
      </c>
      <c r="K1063" s="8"/>
    </row>
    <row r="1064" spans="1:11" s="1" customFormat="1" ht="30" x14ac:dyDescent="0.2">
      <c r="A1064" s="7"/>
      <c r="B1064" s="38">
        <v>45077</v>
      </c>
      <c r="C1064" s="9"/>
      <c r="D1064" s="9" t="s">
        <v>1502</v>
      </c>
      <c r="E1064" s="9" t="s">
        <v>1501</v>
      </c>
      <c r="F1064" s="9" t="s">
        <v>1683</v>
      </c>
      <c r="G1064" s="54">
        <v>54429</v>
      </c>
      <c r="H1064" s="54">
        <v>0</v>
      </c>
      <c r="I1064" s="54">
        <f t="shared" si="43"/>
        <v>54429</v>
      </c>
      <c r="J1064" s="58" t="e">
        <f>+#REF!+#REF!+#REF!+#REF!</f>
        <v>#REF!</v>
      </c>
      <c r="K1064" s="8"/>
    </row>
    <row r="1065" spans="1:11" s="1" customFormat="1" ht="30" x14ac:dyDescent="0.2">
      <c r="A1065" s="7"/>
      <c r="B1065" s="38">
        <v>45077</v>
      </c>
      <c r="C1065" s="9"/>
      <c r="D1065" s="9" t="s">
        <v>1502</v>
      </c>
      <c r="E1065" s="9" t="s">
        <v>1501</v>
      </c>
      <c r="F1065" s="9" t="s">
        <v>1684</v>
      </c>
      <c r="G1065" s="54">
        <v>17496</v>
      </c>
      <c r="H1065" s="54">
        <v>0</v>
      </c>
      <c r="I1065" s="54">
        <f t="shared" si="43"/>
        <v>17496</v>
      </c>
      <c r="J1065" s="58" t="e">
        <f>+#REF!+#REF!+#REF!+#REF!</f>
        <v>#REF!</v>
      </c>
      <c r="K1065" s="8"/>
    </row>
    <row r="1066" spans="1:11" s="1" customFormat="1" ht="45" x14ac:dyDescent="0.2">
      <c r="A1066" s="7"/>
      <c r="B1066" s="38">
        <v>45077</v>
      </c>
      <c r="C1066" s="9"/>
      <c r="D1066" s="9" t="s">
        <v>1502</v>
      </c>
      <c r="E1066" s="9" t="s">
        <v>1501</v>
      </c>
      <c r="F1066" s="9" t="s">
        <v>1685</v>
      </c>
      <c r="G1066" s="54">
        <v>27215</v>
      </c>
      <c r="H1066" s="54">
        <v>0</v>
      </c>
      <c r="I1066" s="54">
        <f t="shared" si="43"/>
        <v>27215</v>
      </c>
      <c r="J1066" s="58" t="e">
        <f>+#REF!+#REF!+#REF!+#REF!</f>
        <v>#REF!</v>
      </c>
      <c r="K1066" s="8"/>
    </row>
    <row r="1067" spans="1:11" s="1" customFormat="1" ht="30" x14ac:dyDescent="0.2">
      <c r="A1067" s="7"/>
      <c r="B1067" s="38">
        <v>45077</v>
      </c>
      <c r="C1067" s="9"/>
      <c r="D1067" s="9" t="s">
        <v>1502</v>
      </c>
      <c r="E1067" s="9" t="s">
        <v>1501</v>
      </c>
      <c r="F1067" s="9" t="s">
        <v>1686</v>
      </c>
      <c r="G1067" s="54">
        <v>30128</v>
      </c>
      <c r="H1067" s="54">
        <v>0</v>
      </c>
      <c r="I1067" s="54">
        <f t="shared" si="43"/>
        <v>30128</v>
      </c>
      <c r="J1067" s="58" t="e">
        <f>+#REF!+#REF!+#REF!+#REF!</f>
        <v>#REF!</v>
      </c>
      <c r="K1067" s="8"/>
    </row>
    <row r="1068" spans="1:11" s="1" customFormat="1" ht="30" x14ac:dyDescent="0.2">
      <c r="A1068" s="7"/>
      <c r="B1068" s="38">
        <v>45077</v>
      </c>
      <c r="C1068" s="9"/>
      <c r="D1068" s="9" t="s">
        <v>1502</v>
      </c>
      <c r="E1068" s="9" t="s">
        <v>1501</v>
      </c>
      <c r="F1068" s="9" t="s">
        <v>1643</v>
      </c>
      <c r="G1068" s="54">
        <v>76438</v>
      </c>
      <c r="H1068" s="54">
        <v>0</v>
      </c>
      <c r="I1068" s="54">
        <f t="shared" si="43"/>
        <v>76438</v>
      </c>
      <c r="J1068" s="58" t="e">
        <f>+#REF!+#REF!+#REF!+#REF!</f>
        <v>#REF!</v>
      </c>
      <c r="K1068" s="8"/>
    </row>
    <row r="1069" spans="1:11" s="1" customFormat="1" ht="30" x14ac:dyDescent="0.2">
      <c r="A1069" s="7"/>
      <c r="B1069" s="38">
        <v>45077</v>
      </c>
      <c r="C1069" s="9"/>
      <c r="D1069" s="9" t="s">
        <v>1502</v>
      </c>
      <c r="E1069" s="9" t="s">
        <v>1501</v>
      </c>
      <c r="F1069" s="9" t="s">
        <v>1644</v>
      </c>
      <c r="G1069" s="54">
        <v>76438</v>
      </c>
      <c r="H1069" s="54">
        <v>0</v>
      </c>
      <c r="I1069" s="54">
        <f t="shared" si="43"/>
        <v>76438</v>
      </c>
      <c r="J1069" s="58" t="e">
        <f>+#REF!+#REF!+#REF!+#REF!</f>
        <v>#REF!</v>
      </c>
      <c r="K1069" s="8"/>
    </row>
    <row r="1070" spans="1:11" s="1" customFormat="1" ht="30" x14ac:dyDescent="0.2">
      <c r="A1070" s="7"/>
      <c r="B1070" s="38">
        <v>45107</v>
      </c>
      <c r="C1070" s="9"/>
      <c r="D1070" s="9" t="s">
        <v>1502</v>
      </c>
      <c r="E1070" s="9" t="s">
        <v>1501</v>
      </c>
      <c r="F1070" s="9" t="s">
        <v>1643</v>
      </c>
      <c r="G1070" s="54">
        <v>73973</v>
      </c>
      <c r="H1070" s="54">
        <v>0</v>
      </c>
      <c r="I1070" s="54">
        <f t="shared" si="43"/>
        <v>73973</v>
      </c>
      <c r="J1070" s="58" t="e">
        <f>+#REF!+#REF!+#REF!+#REF!</f>
        <v>#REF!</v>
      </c>
      <c r="K1070" s="8"/>
    </row>
    <row r="1071" spans="1:11" s="1" customFormat="1" ht="30" x14ac:dyDescent="0.2">
      <c r="A1071" s="7"/>
      <c r="B1071" s="38">
        <v>45107</v>
      </c>
      <c r="C1071" s="9"/>
      <c r="D1071" s="9" t="s">
        <v>1502</v>
      </c>
      <c r="E1071" s="9" t="s">
        <v>1501</v>
      </c>
      <c r="F1071" s="38" t="s">
        <v>1644</v>
      </c>
      <c r="G1071" s="54">
        <v>73973</v>
      </c>
      <c r="H1071" s="54">
        <v>0</v>
      </c>
      <c r="I1071" s="54">
        <f t="shared" si="43"/>
        <v>73973</v>
      </c>
      <c r="J1071" s="58" t="e">
        <f>+#REF!+#REF!+#REF!+#REF!</f>
        <v>#REF!</v>
      </c>
      <c r="K1071" s="8"/>
    </row>
    <row r="1072" spans="1:11" s="1" customFormat="1" ht="30" x14ac:dyDescent="0.2">
      <c r="A1072" s="7"/>
      <c r="B1072" s="38">
        <v>45107</v>
      </c>
      <c r="C1072" s="9"/>
      <c r="D1072" s="9" t="s">
        <v>1502</v>
      </c>
      <c r="E1072" s="9" t="s">
        <v>1501</v>
      </c>
      <c r="F1072" s="9" t="s">
        <v>870</v>
      </c>
      <c r="G1072" s="54">
        <v>48031</v>
      </c>
      <c r="H1072" s="54">
        <v>0</v>
      </c>
      <c r="I1072" s="54">
        <f t="shared" si="43"/>
        <v>48031</v>
      </c>
      <c r="J1072" s="58" t="e">
        <f>+#REF!+#REF!+#REF!+#REF!</f>
        <v>#REF!</v>
      </c>
      <c r="K1072" s="8"/>
    </row>
    <row r="1073" spans="1:11" s="1" customFormat="1" ht="30" x14ac:dyDescent="0.2">
      <c r="A1073" s="7"/>
      <c r="B1073" s="38">
        <v>45107</v>
      </c>
      <c r="C1073" s="9"/>
      <c r="D1073" s="9" t="s">
        <v>1502</v>
      </c>
      <c r="E1073" s="9" t="s">
        <v>1501</v>
      </c>
      <c r="F1073" s="9" t="s">
        <v>1511</v>
      </c>
      <c r="G1073" s="54">
        <v>45203</v>
      </c>
      <c r="H1073" s="54">
        <v>0</v>
      </c>
      <c r="I1073" s="54">
        <f t="shared" si="43"/>
        <v>45203</v>
      </c>
      <c r="J1073" s="58" t="e">
        <f>+#REF!+#REF!+#REF!+#REF!</f>
        <v>#REF!</v>
      </c>
      <c r="K1073" s="8"/>
    </row>
    <row r="1074" spans="1:11" s="1" customFormat="1" ht="30" x14ac:dyDescent="0.2">
      <c r="A1074" s="7"/>
      <c r="B1074" s="38">
        <v>45107</v>
      </c>
      <c r="C1074" s="9"/>
      <c r="D1074" s="9" t="s">
        <v>1502</v>
      </c>
      <c r="E1074" s="9" t="s">
        <v>1501</v>
      </c>
      <c r="F1074" s="9" t="s">
        <v>1512</v>
      </c>
      <c r="G1074" s="54">
        <v>35300</v>
      </c>
      <c r="H1074" s="54">
        <v>0</v>
      </c>
      <c r="I1074" s="54">
        <f t="shared" si="43"/>
        <v>35300</v>
      </c>
      <c r="J1074" s="58" t="e">
        <f>+#REF!+#REF!+#REF!+#REF!</f>
        <v>#REF!</v>
      </c>
      <c r="K1074" s="8"/>
    </row>
    <row r="1075" spans="1:11" s="1" customFormat="1" ht="30" x14ac:dyDescent="0.2">
      <c r="A1075" s="7"/>
      <c r="B1075" s="38">
        <v>45107</v>
      </c>
      <c r="C1075" s="9"/>
      <c r="D1075" s="9" t="s">
        <v>1502</v>
      </c>
      <c r="E1075" s="9" t="s">
        <v>1501</v>
      </c>
      <c r="F1075" s="9" t="s">
        <v>1680</v>
      </c>
      <c r="G1075" s="54">
        <v>21421</v>
      </c>
      <c r="H1075" s="54">
        <v>0</v>
      </c>
      <c r="I1075" s="54">
        <f t="shared" si="43"/>
        <v>21421</v>
      </c>
      <c r="J1075" s="58" t="e">
        <f>+#REF!+#REF!+#REF!+#REF!</f>
        <v>#REF!</v>
      </c>
      <c r="K1075" s="8"/>
    </row>
    <row r="1076" spans="1:11" s="1" customFormat="1" ht="30" x14ac:dyDescent="0.2">
      <c r="A1076" s="7"/>
      <c r="B1076" s="38">
        <v>45107</v>
      </c>
      <c r="C1076" s="9"/>
      <c r="D1076" s="9" t="s">
        <v>1502</v>
      </c>
      <c r="E1076" s="9" t="s">
        <v>1501</v>
      </c>
      <c r="F1076" s="9" t="s">
        <v>877</v>
      </c>
      <c r="G1076" s="54">
        <f>12907+2412</f>
        <v>15319</v>
      </c>
      <c r="H1076" s="54">
        <v>0</v>
      </c>
      <c r="I1076" s="54">
        <f t="shared" si="43"/>
        <v>15319</v>
      </c>
      <c r="J1076" s="58" t="e">
        <f>+#REF!+#REF!+#REF!+#REF!</f>
        <v>#REF!</v>
      </c>
      <c r="K1076" s="8"/>
    </row>
    <row r="1077" spans="1:11" s="1" customFormat="1" ht="30" x14ac:dyDescent="0.2">
      <c r="A1077" s="7"/>
      <c r="B1077" s="38">
        <v>45107</v>
      </c>
      <c r="C1077" s="9"/>
      <c r="D1077" s="9" t="s">
        <v>1502</v>
      </c>
      <c r="E1077" s="9" t="s">
        <v>1501</v>
      </c>
      <c r="F1077" s="9" t="s">
        <v>1640</v>
      </c>
      <c r="G1077" s="54">
        <v>5898</v>
      </c>
      <c r="H1077" s="54">
        <v>0</v>
      </c>
      <c r="I1077" s="54">
        <f t="shared" si="43"/>
        <v>5898</v>
      </c>
      <c r="J1077" s="58" t="e">
        <f>+#REF!+#REF!+#REF!+#REF!</f>
        <v>#REF!</v>
      </c>
      <c r="K1077" s="8"/>
    </row>
    <row r="1078" spans="1:11" s="1" customFormat="1" ht="30" x14ac:dyDescent="0.2">
      <c r="A1078" s="7"/>
      <c r="B1078" s="38">
        <v>45107</v>
      </c>
      <c r="C1078" s="9"/>
      <c r="D1078" s="9" t="s">
        <v>1502</v>
      </c>
      <c r="E1078" s="9" t="s">
        <v>1501</v>
      </c>
      <c r="F1078" s="9" t="s">
        <v>1641</v>
      </c>
      <c r="G1078" s="54">
        <v>2372</v>
      </c>
      <c r="H1078" s="54">
        <v>0</v>
      </c>
      <c r="I1078" s="54">
        <f t="shared" si="43"/>
        <v>2372</v>
      </c>
      <c r="J1078" s="58" t="e">
        <f>+#REF!+#REF!+#REF!+#REF!</f>
        <v>#REF!</v>
      </c>
      <c r="K1078" s="8"/>
    </row>
    <row r="1079" spans="1:11" s="1" customFormat="1" ht="30" x14ac:dyDescent="0.2">
      <c r="A1079" s="7"/>
      <c r="B1079" s="38">
        <v>45107</v>
      </c>
      <c r="C1079" s="9"/>
      <c r="D1079" s="9" t="s">
        <v>1502</v>
      </c>
      <c r="E1079" s="9" t="s">
        <v>1501</v>
      </c>
      <c r="F1079" s="9" t="s">
        <v>1681</v>
      </c>
      <c r="G1079" s="54">
        <v>11293</v>
      </c>
      <c r="H1079" s="54">
        <v>0</v>
      </c>
      <c r="I1079" s="54">
        <f t="shared" si="43"/>
        <v>11293</v>
      </c>
      <c r="J1079" s="58" t="e">
        <f>+#REF!+#REF!+#REF!+#REF!</f>
        <v>#REF!</v>
      </c>
      <c r="K1079" s="8"/>
    </row>
    <row r="1080" spans="1:11" s="1" customFormat="1" ht="30" x14ac:dyDescent="0.2">
      <c r="A1080" s="7"/>
      <c r="B1080" s="38">
        <v>45107</v>
      </c>
      <c r="C1080" s="9"/>
      <c r="D1080" s="9" t="s">
        <v>1502</v>
      </c>
      <c r="E1080" s="9" t="s">
        <v>1501</v>
      </c>
      <c r="F1080" s="9" t="s">
        <v>1682</v>
      </c>
      <c r="G1080" s="54">
        <v>9439</v>
      </c>
      <c r="H1080" s="54">
        <v>0</v>
      </c>
      <c r="I1080" s="54">
        <f t="shared" si="43"/>
        <v>9439</v>
      </c>
      <c r="J1080" s="58" t="e">
        <f>+#REF!+#REF!+#REF!+#REF!</f>
        <v>#REF!</v>
      </c>
      <c r="K1080" s="8"/>
    </row>
    <row r="1081" spans="1:11" s="1" customFormat="1" ht="30" x14ac:dyDescent="0.2">
      <c r="A1081" s="7"/>
      <c r="B1081" s="38">
        <v>45107</v>
      </c>
      <c r="C1081" s="9"/>
      <c r="D1081" s="9" t="s">
        <v>1502</v>
      </c>
      <c r="E1081" s="9" t="s">
        <v>1501</v>
      </c>
      <c r="F1081" s="9" t="s">
        <v>1683</v>
      </c>
      <c r="G1081" s="54">
        <v>27091</v>
      </c>
      <c r="H1081" s="54">
        <v>0</v>
      </c>
      <c r="I1081" s="54">
        <f t="shared" si="43"/>
        <v>27091</v>
      </c>
      <c r="J1081" s="58" t="e">
        <f>+#REF!+#REF!+#REF!+#REF!</f>
        <v>#REF!</v>
      </c>
      <c r="K1081" s="8"/>
    </row>
    <row r="1082" spans="1:11" s="1" customFormat="1" ht="30" x14ac:dyDescent="0.2">
      <c r="A1082" s="7"/>
      <c r="B1082" s="38">
        <v>45107</v>
      </c>
      <c r="C1082" s="9"/>
      <c r="D1082" s="9" t="s">
        <v>1502</v>
      </c>
      <c r="E1082" s="9" t="s">
        <v>1501</v>
      </c>
      <c r="F1082" s="9" t="s">
        <v>1684</v>
      </c>
      <c r="G1082" s="54">
        <v>8708</v>
      </c>
      <c r="H1082" s="54">
        <v>0</v>
      </c>
      <c r="I1082" s="54">
        <f t="shared" si="43"/>
        <v>8708</v>
      </c>
      <c r="J1082" s="58" t="e">
        <f>+#REF!+#REF!+#REF!+#REF!</f>
        <v>#REF!</v>
      </c>
      <c r="K1082" s="8"/>
    </row>
    <row r="1083" spans="1:11" s="1" customFormat="1" ht="45" x14ac:dyDescent="0.2">
      <c r="A1083" s="7"/>
      <c r="B1083" s="38">
        <v>45107</v>
      </c>
      <c r="C1083" s="9"/>
      <c r="D1083" s="9" t="s">
        <v>1502</v>
      </c>
      <c r="E1083" s="9" t="s">
        <v>1501</v>
      </c>
      <c r="F1083" s="9" t="s">
        <v>1685</v>
      </c>
      <c r="G1083" s="54">
        <v>13545</v>
      </c>
      <c r="H1083" s="54">
        <v>0</v>
      </c>
      <c r="I1083" s="54">
        <f t="shared" si="43"/>
        <v>13545</v>
      </c>
      <c r="J1083" s="58" t="e">
        <f>+#REF!+#REF!+#REF!+#REF!</f>
        <v>#REF!</v>
      </c>
      <c r="K1083" s="8"/>
    </row>
    <row r="1084" spans="1:11" s="1" customFormat="1" ht="30" x14ac:dyDescent="0.2">
      <c r="A1084" s="7"/>
      <c r="B1084" s="38">
        <v>45107</v>
      </c>
      <c r="C1084" s="9"/>
      <c r="D1084" s="9" t="s">
        <v>1502</v>
      </c>
      <c r="E1084" s="9" t="s">
        <v>1501</v>
      </c>
      <c r="F1084" s="9" t="s">
        <v>1686</v>
      </c>
      <c r="G1084" s="54">
        <v>14995</v>
      </c>
      <c r="H1084" s="54">
        <v>0</v>
      </c>
      <c r="I1084" s="54">
        <f t="shared" si="43"/>
        <v>14995</v>
      </c>
      <c r="J1084" s="58" t="e">
        <f>+#REF!+#REF!+#REF!+#REF!</f>
        <v>#REF!</v>
      </c>
      <c r="K1084" s="8"/>
    </row>
    <row r="1085" spans="1:11" s="1" customFormat="1" ht="30" x14ac:dyDescent="0.2">
      <c r="A1085" s="7"/>
      <c r="B1085" s="38">
        <v>45138</v>
      </c>
      <c r="C1085" s="9"/>
      <c r="D1085" s="9" t="s">
        <v>1502</v>
      </c>
      <c r="E1085" s="9" t="s">
        <v>1501</v>
      </c>
      <c r="F1085" s="9" t="s">
        <v>1643</v>
      </c>
      <c r="G1085" s="54">
        <f>152876/2</f>
        <v>76438</v>
      </c>
      <c r="H1085" s="54">
        <v>0</v>
      </c>
      <c r="I1085" s="54">
        <f t="shared" si="43"/>
        <v>76438</v>
      </c>
      <c r="J1085" s="58" t="e">
        <f>+#REF!+#REF!+#REF!+#REF!</f>
        <v>#REF!</v>
      </c>
      <c r="K1085" s="8"/>
    </row>
    <row r="1086" spans="1:11" s="1" customFormat="1" ht="30" x14ac:dyDescent="0.2">
      <c r="A1086" s="7"/>
      <c r="B1086" s="38">
        <v>45138</v>
      </c>
      <c r="C1086" s="9"/>
      <c r="D1086" s="9" t="s">
        <v>1502</v>
      </c>
      <c r="E1086" s="9" t="s">
        <v>1501</v>
      </c>
      <c r="F1086" s="9" t="s">
        <v>1644</v>
      </c>
      <c r="G1086" s="54">
        <f>152876/2</f>
        <v>76438</v>
      </c>
      <c r="H1086" s="54">
        <v>0</v>
      </c>
      <c r="I1086" s="54">
        <f t="shared" si="43"/>
        <v>76438</v>
      </c>
      <c r="J1086" s="58" t="e">
        <f>+#REF!+#REF!+#REF!+#REF!</f>
        <v>#REF!</v>
      </c>
      <c r="K1086" s="8"/>
    </row>
    <row r="1087" spans="1:11" s="1" customFormat="1" ht="30" x14ac:dyDescent="0.2">
      <c r="A1087" s="7"/>
      <c r="B1087" s="38">
        <v>45169</v>
      </c>
      <c r="C1087" s="9"/>
      <c r="D1087" s="9" t="s">
        <v>1502</v>
      </c>
      <c r="E1087" s="9" t="s">
        <v>1501</v>
      </c>
      <c r="F1087" s="9" t="s">
        <v>1643</v>
      </c>
      <c r="G1087" s="54">
        <f>152876/2</f>
        <v>76438</v>
      </c>
      <c r="H1087" s="54">
        <v>0</v>
      </c>
      <c r="I1087" s="54">
        <f t="shared" si="43"/>
        <v>76438</v>
      </c>
      <c r="J1087" s="58" t="e">
        <f>+#REF!+#REF!+#REF!+#REF!</f>
        <v>#REF!</v>
      </c>
      <c r="K1087" s="8"/>
    </row>
    <row r="1088" spans="1:11" s="1" customFormat="1" ht="30" x14ac:dyDescent="0.2">
      <c r="A1088" s="7"/>
      <c r="B1088" s="38">
        <v>45169</v>
      </c>
      <c r="C1088" s="9"/>
      <c r="D1088" s="9" t="s">
        <v>1502</v>
      </c>
      <c r="E1088" s="9" t="s">
        <v>1501</v>
      </c>
      <c r="F1088" s="9" t="s">
        <v>1644</v>
      </c>
      <c r="G1088" s="54">
        <f>152876/2</f>
        <v>76438</v>
      </c>
      <c r="H1088" s="54">
        <v>0</v>
      </c>
      <c r="I1088" s="54">
        <f t="shared" si="43"/>
        <v>76438</v>
      </c>
      <c r="J1088" s="58" t="e">
        <f>+#REF!+#REF!+#REF!+#REF!</f>
        <v>#REF!</v>
      </c>
      <c r="K1088" s="8"/>
    </row>
    <row r="1089" spans="1:11" s="1" customFormat="1" ht="30" x14ac:dyDescent="0.2">
      <c r="A1089" s="7"/>
      <c r="B1089" s="38">
        <v>45199</v>
      </c>
      <c r="C1089" s="9"/>
      <c r="D1089" s="9" t="s">
        <v>1502</v>
      </c>
      <c r="E1089" s="9" t="s">
        <v>1501</v>
      </c>
      <c r="F1089" s="9" t="s">
        <v>1643</v>
      </c>
      <c r="G1089" s="54">
        <v>66576</v>
      </c>
      <c r="H1089" s="54">
        <v>0</v>
      </c>
      <c r="I1089" s="54">
        <f t="shared" si="43"/>
        <v>66576</v>
      </c>
      <c r="J1089" s="58" t="e">
        <f>+#REF!+#REF!+#REF!+#REF!</f>
        <v>#REF!</v>
      </c>
      <c r="K1089" s="8"/>
    </row>
    <row r="1090" spans="1:11" s="1" customFormat="1" ht="30" x14ac:dyDescent="0.2">
      <c r="A1090" s="7"/>
      <c r="B1090" s="38">
        <v>45199</v>
      </c>
      <c r="C1090" s="9"/>
      <c r="D1090" s="9" t="s">
        <v>1502</v>
      </c>
      <c r="E1090" s="9" t="s">
        <v>1501</v>
      </c>
      <c r="F1090" s="9" t="s">
        <v>1644</v>
      </c>
      <c r="G1090" s="54">
        <v>77672</v>
      </c>
      <c r="H1090" s="54">
        <v>0</v>
      </c>
      <c r="I1090" s="54">
        <f t="shared" si="43"/>
        <v>77672</v>
      </c>
      <c r="J1090" s="58" t="e">
        <f>+#REF!+#REF!+#REF!+#REF!</f>
        <v>#REF!</v>
      </c>
      <c r="K1090" s="8"/>
    </row>
    <row r="1091" spans="1:11" s="1" customFormat="1" ht="30" x14ac:dyDescent="0.2">
      <c r="A1091" s="7"/>
      <c r="B1091" s="38">
        <v>45230</v>
      </c>
      <c r="C1091" s="9"/>
      <c r="D1091" s="9" t="s">
        <v>1502</v>
      </c>
      <c r="E1091" s="9" t="s">
        <v>1501</v>
      </c>
      <c r="F1091" s="9" t="s">
        <v>1644</v>
      </c>
      <c r="G1091" s="54">
        <v>137589</v>
      </c>
      <c r="H1091" s="54">
        <v>0</v>
      </c>
      <c r="I1091" s="54">
        <f t="shared" si="43"/>
        <v>137589</v>
      </c>
      <c r="J1091" s="58" t="e">
        <f>+#REF!+#REF!+#REF!+#REF!</f>
        <v>#REF!</v>
      </c>
      <c r="K1091" s="8"/>
    </row>
    <row r="1092" spans="1:11" s="28" customFormat="1" ht="15.75" x14ac:dyDescent="0.25">
      <c r="A1092" s="25"/>
      <c r="B1092" s="26"/>
      <c r="C1092" s="27"/>
      <c r="D1092" s="27"/>
      <c r="E1092" s="27"/>
      <c r="F1092" s="27" t="s">
        <v>593</v>
      </c>
      <c r="G1092" s="24">
        <f t="shared" ref="G1092:I1092" si="44">SUM(G1030:G1091)</f>
        <v>3445079</v>
      </c>
      <c r="H1092" s="24">
        <f t="shared" si="44"/>
        <v>0</v>
      </c>
      <c r="I1092" s="24">
        <f t="shared" si="44"/>
        <v>3445079</v>
      </c>
      <c r="J1092" s="24" t="e">
        <f t="shared" ref="J1092" si="45">SUM(J1030:J1091)</f>
        <v>#REF!</v>
      </c>
      <c r="K1092" s="8"/>
    </row>
    <row r="1093" spans="1:11" s="42" customFormat="1" ht="31.5" x14ac:dyDescent="0.25">
      <c r="A1093" s="13"/>
      <c r="B1093" s="40"/>
      <c r="C1093" s="46"/>
      <c r="D1093" s="46"/>
      <c r="E1093" s="30" t="s">
        <v>1717</v>
      </c>
      <c r="F1093" s="41"/>
      <c r="G1093" s="10"/>
      <c r="H1093" s="10"/>
      <c r="I1093" s="10"/>
      <c r="J1093" s="58" t="e">
        <f>+#REF!+#REF!+#REF!+#REF!</f>
        <v>#REF!</v>
      </c>
      <c r="K1093" s="8"/>
    </row>
    <row r="1094" spans="1:11" s="1" customFormat="1" ht="30" x14ac:dyDescent="0.2">
      <c r="A1094" s="7">
        <v>1</v>
      </c>
      <c r="B1094" s="8">
        <v>45046</v>
      </c>
      <c r="C1094" s="56"/>
      <c r="D1094" s="9" t="s">
        <v>1718</v>
      </c>
      <c r="E1094" s="51" t="s">
        <v>1719</v>
      </c>
      <c r="F1094" s="9" t="s">
        <v>1721</v>
      </c>
      <c r="G1094" s="54">
        <v>706577.75</v>
      </c>
      <c r="H1094" s="54">
        <v>0</v>
      </c>
      <c r="I1094" s="54">
        <f t="shared" ref="I1094:I1096" si="46">+G1094+H1094</f>
        <v>706577.75</v>
      </c>
      <c r="J1094" s="58" t="e">
        <f>+#REF!+#REF!+#REF!+#REF!</f>
        <v>#REF!</v>
      </c>
      <c r="K1094" s="8"/>
    </row>
    <row r="1095" spans="1:11" s="1" customFormat="1" ht="30" x14ac:dyDescent="0.2">
      <c r="A1095" s="7">
        <v>2</v>
      </c>
      <c r="B1095" s="8">
        <v>45077</v>
      </c>
      <c r="C1095" s="56"/>
      <c r="D1095" s="9" t="s">
        <v>1718</v>
      </c>
      <c r="E1095" s="51" t="s">
        <v>1720</v>
      </c>
      <c r="F1095" s="9" t="s">
        <v>1721</v>
      </c>
      <c r="G1095" s="54">
        <v>1220779.1000000001</v>
      </c>
      <c r="H1095" s="54">
        <v>0</v>
      </c>
      <c r="I1095" s="54">
        <f t="shared" si="46"/>
        <v>1220779.1000000001</v>
      </c>
      <c r="J1095" s="58" t="e">
        <f>+#REF!+#REF!+#REF!+#REF!</f>
        <v>#REF!</v>
      </c>
      <c r="K1095" s="8"/>
    </row>
    <row r="1096" spans="1:11" s="1" customFormat="1" ht="30" x14ac:dyDescent="0.2">
      <c r="A1096" s="7">
        <v>3</v>
      </c>
      <c r="B1096" s="8">
        <v>45107</v>
      </c>
      <c r="C1096" s="56"/>
      <c r="D1096" s="9" t="s">
        <v>1718</v>
      </c>
      <c r="E1096" s="51" t="s">
        <v>1749</v>
      </c>
      <c r="F1096" s="9" t="s">
        <v>1721</v>
      </c>
      <c r="G1096" s="54">
        <v>1500296.49</v>
      </c>
      <c r="H1096" s="54">
        <v>0</v>
      </c>
      <c r="I1096" s="54">
        <f t="shared" si="46"/>
        <v>1500296.49</v>
      </c>
      <c r="J1096" s="58" t="e">
        <f>+#REF!+#REF!+#REF!+#REF!</f>
        <v>#REF!</v>
      </c>
      <c r="K1096" s="8"/>
    </row>
    <row r="1097" spans="1:11" s="21" customFormat="1" ht="15.75" x14ac:dyDescent="0.25">
      <c r="A1097" s="18"/>
      <c r="B1097" s="19"/>
      <c r="C1097" s="20"/>
      <c r="D1097" s="20"/>
      <c r="E1097" s="20"/>
      <c r="F1097" s="27" t="s">
        <v>593</v>
      </c>
      <c r="G1097" s="24">
        <f t="shared" ref="G1097:I1097" si="47">SUM(G1093:G1096)</f>
        <v>3427653.34</v>
      </c>
      <c r="H1097" s="24">
        <f t="shared" si="47"/>
        <v>0</v>
      </c>
      <c r="I1097" s="24">
        <f t="shared" si="47"/>
        <v>3427653.34</v>
      </c>
      <c r="J1097" s="58" t="e">
        <f>+#REF!+#REF!+#REF!+#REF!</f>
        <v>#REF!</v>
      </c>
      <c r="K1097" s="8"/>
    </row>
    <row r="1098" spans="1:11" s="1" customFormat="1" ht="15.75" x14ac:dyDescent="0.2">
      <c r="A1098" s="7"/>
      <c r="B1098" s="38"/>
      <c r="C1098" s="9"/>
      <c r="D1098" s="9"/>
      <c r="E1098" s="30" t="s">
        <v>598</v>
      </c>
      <c r="F1098" s="9"/>
      <c r="G1098" s="10"/>
      <c r="H1098" s="11"/>
      <c r="I1098" s="11"/>
      <c r="J1098" s="58" t="e">
        <f>+#REF!+#REF!+#REF!+#REF!</f>
        <v>#REF!</v>
      </c>
      <c r="K1098" s="8"/>
    </row>
    <row r="1099" spans="1:11" s="1" customFormat="1" ht="75" x14ac:dyDescent="0.2">
      <c r="A1099" s="7">
        <v>1</v>
      </c>
      <c r="B1099" s="38">
        <v>44315</v>
      </c>
      <c r="C1099" s="9" t="s">
        <v>1259</v>
      </c>
      <c r="D1099" s="9" t="s">
        <v>598</v>
      </c>
      <c r="E1099" s="9" t="s">
        <v>1260</v>
      </c>
      <c r="F1099" s="9" t="s">
        <v>1138</v>
      </c>
      <c r="G1099" s="54">
        <v>42483</v>
      </c>
      <c r="H1099" s="54">
        <f>3823+3823</f>
        <v>7646</v>
      </c>
      <c r="I1099" s="54">
        <f t="shared" ref="I1099:I1259" si="48">+G1099+H1099</f>
        <v>50129</v>
      </c>
      <c r="J1099" s="58" t="e">
        <f>+#REF!+#REF!+#REF!+#REF!+1</f>
        <v>#REF!</v>
      </c>
      <c r="K1099" s="38">
        <v>44328</v>
      </c>
    </row>
    <row r="1100" spans="1:11" s="1" customFormat="1" ht="45" x14ac:dyDescent="0.2">
      <c r="A1100" s="7">
        <v>2</v>
      </c>
      <c r="B1100" s="38">
        <v>44349</v>
      </c>
      <c r="C1100" s="9" t="s">
        <v>1226</v>
      </c>
      <c r="D1100" s="9" t="s">
        <v>598</v>
      </c>
      <c r="E1100" s="9" t="s">
        <v>1227</v>
      </c>
      <c r="F1100" s="9" t="s">
        <v>151</v>
      </c>
      <c r="G1100" s="54">
        <v>20600</v>
      </c>
      <c r="H1100" s="54">
        <f>1854+1854</f>
        <v>3708</v>
      </c>
      <c r="I1100" s="54">
        <f t="shared" si="48"/>
        <v>24308</v>
      </c>
      <c r="J1100" s="58" t="e">
        <f>+#REF!+#REF!+#REF!+#REF!</f>
        <v>#REF!</v>
      </c>
      <c r="K1100" s="38">
        <v>44399</v>
      </c>
    </row>
    <row r="1101" spans="1:11" s="1" customFormat="1" ht="60" x14ac:dyDescent="0.2">
      <c r="A1101" s="7">
        <v>3</v>
      </c>
      <c r="B1101" s="38">
        <v>44386</v>
      </c>
      <c r="C1101" s="9" t="s">
        <v>1228</v>
      </c>
      <c r="D1101" s="9" t="s">
        <v>598</v>
      </c>
      <c r="E1101" s="9" t="s">
        <v>1229</v>
      </c>
      <c r="F1101" s="9" t="s">
        <v>1133</v>
      </c>
      <c r="G1101" s="54">
        <v>113796</v>
      </c>
      <c r="H1101" s="54">
        <v>20483</v>
      </c>
      <c r="I1101" s="54">
        <f t="shared" si="48"/>
        <v>134279</v>
      </c>
      <c r="J1101" s="58" t="e">
        <f>+#REF!+#REF!+#REF!+#REF!+1</f>
        <v>#REF!</v>
      </c>
      <c r="K1101" s="8">
        <v>44378</v>
      </c>
    </row>
    <row r="1102" spans="1:11" s="1" customFormat="1" ht="90" x14ac:dyDescent="0.2">
      <c r="A1102" s="7">
        <v>4</v>
      </c>
      <c r="B1102" s="38">
        <v>44398</v>
      </c>
      <c r="C1102" s="9" t="s">
        <v>1230</v>
      </c>
      <c r="D1102" s="9" t="s">
        <v>598</v>
      </c>
      <c r="E1102" s="9" t="s">
        <v>2132</v>
      </c>
      <c r="F1102" s="9" t="s">
        <v>441</v>
      </c>
      <c r="G1102" s="54">
        <v>78500</v>
      </c>
      <c r="H1102" s="54">
        <f>7065+7065</f>
        <v>14130</v>
      </c>
      <c r="I1102" s="54">
        <f t="shared" si="48"/>
        <v>92630</v>
      </c>
      <c r="J1102" s="58" t="e">
        <f>+#REF!+#REF!+#REF!+#REF!</f>
        <v>#REF!</v>
      </c>
      <c r="K1102" s="8">
        <v>44428</v>
      </c>
    </row>
    <row r="1103" spans="1:11" s="1" customFormat="1" ht="90" x14ac:dyDescent="0.2">
      <c r="A1103" s="7">
        <v>5</v>
      </c>
      <c r="B1103" s="38">
        <v>44405</v>
      </c>
      <c r="C1103" s="9">
        <v>42</v>
      </c>
      <c r="D1103" s="9" t="s">
        <v>598</v>
      </c>
      <c r="E1103" s="9" t="s">
        <v>1142</v>
      </c>
      <c r="F1103" s="9" t="s">
        <v>1134</v>
      </c>
      <c r="G1103" s="54">
        <v>150000</v>
      </c>
      <c r="H1103" s="54">
        <v>27000</v>
      </c>
      <c r="I1103" s="54">
        <f t="shared" si="48"/>
        <v>177000</v>
      </c>
      <c r="J1103" s="58" t="e">
        <f>+#REF!+#REF!+#REF!+#REF!</f>
        <v>#REF!</v>
      </c>
      <c r="K1103" s="38" t="s">
        <v>2025</v>
      </c>
    </row>
    <row r="1104" spans="1:11" s="1" customFormat="1" ht="105" x14ac:dyDescent="0.2">
      <c r="A1104" s="7">
        <v>6</v>
      </c>
      <c r="B1104" s="38">
        <v>44405</v>
      </c>
      <c r="C1104" s="9" t="s">
        <v>1231</v>
      </c>
      <c r="D1104" s="9" t="s">
        <v>598</v>
      </c>
      <c r="E1104" s="9" t="s">
        <v>1232</v>
      </c>
      <c r="F1104" s="9" t="s">
        <v>1135</v>
      </c>
      <c r="G1104" s="54">
        <v>25480</v>
      </c>
      <c r="H1104" s="54">
        <f>2293+2293</f>
        <v>4586</v>
      </c>
      <c r="I1104" s="54">
        <f t="shared" si="48"/>
        <v>30066</v>
      </c>
      <c r="J1104" s="58" t="e">
        <f>+#REF!+#REF!+#REF!+#REF!</f>
        <v>#REF!</v>
      </c>
      <c r="K1104" s="38">
        <v>44428</v>
      </c>
    </row>
    <row r="1105" spans="1:11" s="1" customFormat="1" ht="45" x14ac:dyDescent="0.2">
      <c r="A1105" s="7">
        <v>7</v>
      </c>
      <c r="B1105" s="38">
        <v>44494</v>
      </c>
      <c r="C1105" s="9">
        <v>3202</v>
      </c>
      <c r="D1105" s="9" t="s">
        <v>598</v>
      </c>
      <c r="E1105" s="9" t="s">
        <v>1239</v>
      </c>
      <c r="F1105" s="9" t="s">
        <v>1137</v>
      </c>
      <c r="G1105" s="54">
        <v>210000</v>
      </c>
      <c r="H1105" s="54">
        <f>18900+18900</f>
        <v>37800</v>
      </c>
      <c r="I1105" s="54">
        <f t="shared" ref="I1105:I1128" si="49">+G1105+H1105</f>
        <v>247800</v>
      </c>
      <c r="J1105" s="58" t="e">
        <f>+#REF!+#REF!+#REF!+#REF!</f>
        <v>#REF!</v>
      </c>
      <c r="K1105" s="38">
        <v>44525</v>
      </c>
    </row>
    <row r="1106" spans="1:11" s="1" customFormat="1" ht="45" x14ac:dyDescent="0.2">
      <c r="A1106" s="7">
        <v>8</v>
      </c>
      <c r="B1106" s="38">
        <v>44500</v>
      </c>
      <c r="C1106" s="9" t="s">
        <v>1240</v>
      </c>
      <c r="D1106" s="9" t="s">
        <v>598</v>
      </c>
      <c r="E1106" s="9" t="s">
        <v>1241</v>
      </c>
      <c r="F1106" s="9" t="s">
        <v>223</v>
      </c>
      <c r="G1106" s="54">
        <v>44642.400000000001</v>
      </c>
      <c r="H1106" s="54">
        <f>4018+4018</f>
        <v>8036</v>
      </c>
      <c r="I1106" s="54">
        <f t="shared" si="49"/>
        <v>52678.400000000001</v>
      </c>
      <c r="J1106" s="58" t="e">
        <f>+#REF!+#REF!+#REF!+#REF!-0.4</f>
        <v>#REF!</v>
      </c>
      <c r="K1106" s="38">
        <v>44524</v>
      </c>
    </row>
    <row r="1107" spans="1:11" s="1" customFormat="1" ht="105" x14ac:dyDescent="0.2">
      <c r="A1107" s="7">
        <v>9</v>
      </c>
      <c r="B1107" s="38">
        <v>44517</v>
      </c>
      <c r="C1107" s="9" t="s">
        <v>1261</v>
      </c>
      <c r="D1107" s="9" t="s">
        <v>598</v>
      </c>
      <c r="E1107" s="9" t="s">
        <v>1262</v>
      </c>
      <c r="F1107" s="9" t="s">
        <v>1138</v>
      </c>
      <c r="G1107" s="54">
        <v>73595</v>
      </c>
      <c r="H1107" s="54">
        <f>6624+6624</f>
        <v>13248</v>
      </c>
      <c r="I1107" s="54">
        <f>+G1107+H1107</f>
        <v>86843</v>
      </c>
      <c r="J1107" s="58" t="e">
        <f>+#REF!+#REF!+#REF!+#REF!-1</f>
        <v>#REF!</v>
      </c>
      <c r="K1107" s="38">
        <v>44548</v>
      </c>
    </row>
    <row r="1108" spans="1:11" s="1" customFormat="1" ht="45" x14ac:dyDescent="0.2">
      <c r="A1108" s="7">
        <v>10</v>
      </c>
      <c r="B1108" s="38">
        <v>44518</v>
      </c>
      <c r="C1108" s="9" t="s">
        <v>1263</v>
      </c>
      <c r="D1108" s="9" t="s">
        <v>598</v>
      </c>
      <c r="E1108" s="9" t="s">
        <v>1264</v>
      </c>
      <c r="F1108" s="9" t="s">
        <v>1138</v>
      </c>
      <c r="G1108" s="54">
        <v>6500</v>
      </c>
      <c r="H1108" s="54">
        <f>585+585</f>
        <v>1170</v>
      </c>
      <c r="I1108" s="54">
        <f>+G1108+H1108</f>
        <v>7670</v>
      </c>
      <c r="J1108" s="58" t="e">
        <f>+#REF!+#REF!+#REF!+#REF!</f>
        <v>#REF!</v>
      </c>
      <c r="K1108" s="38">
        <v>44548</v>
      </c>
    </row>
    <row r="1109" spans="1:11" s="1" customFormat="1" ht="45" x14ac:dyDescent="0.2">
      <c r="A1109" s="7">
        <v>11</v>
      </c>
      <c r="B1109" s="38">
        <v>44561</v>
      </c>
      <c r="C1109" s="9">
        <v>7</v>
      </c>
      <c r="D1109" s="9" t="s">
        <v>598</v>
      </c>
      <c r="E1109" s="9" t="s">
        <v>1243</v>
      </c>
      <c r="F1109" s="9" t="s">
        <v>733</v>
      </c>
      <c r="G1109" s="54">
        <v>30000</v>
      </c>
      <c r="H1109" s="54">
        <v>0</v>
      </c>
      <c r="I1109" s="54">
        <f t="shared" si="49"/>
        <v>30000</v>
      </c>
      <c r="J1109" s="58" t="e">
        <f>+#REF!+#REF!+#REF!+#REF!</f>
        <v>#REF!</v>
      </c>
      <c r="K1109" s="38" t="s">
        <v>1996</v>
      </c>
    </row>
    <row r="1110" spans="1:11" s="1" customFormat="1" ht="45" x14ac:dyDescent="0.2">
      <c r="A1110" s="7">
        <v>12</v>
      </c>
      <c r="B1110" s="38">
        <v>44568</v>
      </c>
      <c r="C1110" s="9">
        <v>78</v>
      </c>
      <c r="D1110" s="9" t="s">
        <v>598</v>
      </c>
      <c r="E1110" s="9" t="s">
        <v>905</v>
      </c>
      <c r="F1110" s="9" t="s">
        <v>897</v>
      </c>
      <c r="G1110" s="54">
        <v>490000</v>
      </c>
      <c r="H1110" s="54">
        <f>44100+44100</f>
        <v>88200</v>
      </c>
      <c r="I1110" s="54">
        <f t="shared" si="49"/>
        <v>578200</v>
      </c>
      <c r="J1110" s="58" t="e">
        <f>+#REF!+#REF!+#REF!+#REF!</f>
        <v>#REF!</v>
      </c>
      <c r="K1110" s="38" t="s">
        <v>2002</v>
      </c>
    </row>
    <row r="1111" spans="1:11" s="1" customFormat="1" ht="75" x14ac:dyDescent="0.2">
      <c r="A1111" s="7">
        <v>13</v>
      </c>
      <c r="B1111" s="38">
        <v>44618</v>
      </c>
      <c r="C1111" s="9">
        <v>820</v>
      </c>
      <c r="D1111" s="9" t="s">
        <v>598</v>
      </c>
      <c r="E1111" s="9" t="s">
        <v>1250</v>
      </c>
      <c r="F1111" s="9" t="s">
        <v>42</v>
      </c>
      <c r="G1111" s="54">
        <v>31501.200000000001</v>
      </c>
      <c r="H1111" s="54">
        <f>2725+2725+171+171</f>
        <v>5792</v>
      </c>
      <c r="I1111" s="54">
        <f t="shared" si="49"/>
        <v>37293.199999999997</v>
      </c>
      <c r="J1111" s="58" t="e">
        <f>+#REF!+#REF!+#REF!+#REF!+0.8</f>
        <v>#REF!</v>
      </c>
      <c r="K1111" s="8">
        <v>44629</v>
      </c>
    </row>
    <row r="1112" spans="1:11" s="1" customFormat="1" ht="45" x14ac:dyDescent="0.2">
      <c r="A1112" s="7">
        <v>14</v>
      </c>
      <c r="B1112" s="38">
        <v>44618</v>
      </c>
      <c r="C1112" s="9"/>
      <c r="D1112" s="9" t="s">
        <v>598</v>
      </c>
      <c r="E1112" s="9" t="s">
        <v>1251</v>
      </c>
      <c r="F1112" s="9" t="s">
        <v>1252</v>
      </c>
      <c r="G1112" s="54">
        <v>3360</v>
      </c>
      <c r="H1112" s="54">
        <v>605</v>
      </c>
      <c r="I1112" s="54">
        <f t="shared" si="49"/>
        <v>3965</v>
      </c>
      <c r="J1112" s="58" t="e">
        <f>+#REF!+#REF!+#REF!+#REF!</f>
        <v>#REF!</v>
      </c>
      <c r="K1112" s="38">
        <v>44623</v>
      </c>
    </row>
    <row r="1113" spans="1:11" s="1" customFormat="1" ht="45" x14ac:dyDescent="0.2">
      <c r="A1113" s="7">
        <v>15</v>
      </c>
      <c r="B1113" s="38">
        <v>44640</v>
      </c>
      <c r="C1113" s="9" t="s">
        <v>1257</v>
      </c>
      <c r="D1113" s="9" t="s">
        <v>598</v>
      </c>
      <c r="E1113" s="9" t="s">
        <v>1258</v>
      </c>
      <c r="F1113" s="9" t="s">
        <v>665</v>
      </c>
      <c r="G1113" s="54">
        <v>3317.8</v>
      </c>
      <c r="H1113" s="54">
        <f>299+299</f>
        <v>598</v>
      </c>
      <c r="I1113" s="54">
        <f>+G1113+H1113</f>
        <v>3915.8</v>
      </c>
      <c r="J1113" s="58" t="e">
        <f>+#REF!+#REF!+#REF!+#REF!-0.8</f>
        <v>#REF!</v>
      </c>
      <c r="K1113" s="38">
        <v>44651</v>
      </c>
    </row>
    <row r="1114" spans="1:11" s="1" customFormat="1" ht="60" x14ac:dyDescent="0.2">
      <c r="A1114" s="7">
        <v>16</v>
      </c>
      <c r="B1114" s="38">
        <v>44627</v>
      </c>
      <c r="C1114" s="9" t="s">
        <v>555</v>
      </c>
      <c r="D1114" s="9" t="s">
        <v>598</v>
      </c>
      <c r="E1114" s="9" t="s">
        <v>556</v>
      </c>
      <c r="F1114" s="9" t="s">
        <v>557</v>
      </c>
      <c r="G1114" s="54">
        <v>362100</v>
      </c>
      <c r="H1114" s="54">
        <v>65178</v>
      </c>
      <c r="I1114" s="54">
        <f>+G1114+H1114</f>
        <v>427278</v>
      </c>
      <c r="J1114" s="58" t="e">
        <f>+#REF!+#REF!+#REF!+#REF!</f>
        <v>#REF!</v>
      </c>
      <c r="K1114" s="38" t="s">
        <v>1938</v>
      </c>
    </row>
    <row r="1115" spans="1:11" s="1" customFormat="1" ht="45" x14ac:dyDescent="0.2">
      <c r="A1115" s="7">
        <v>17</v>
      </c>
      <c r="B1115" s="38">
        <v>44672</v>
      </c>
      <c r="C1115" s="9" t="s">
        <v>1265</v>
      </c>
      <c r="D1115" s="9" t="s">
        <v>598</v>
      </c>
      <c r="E1115" s="9" t="s">
        <v>1266</v>
      </c>
      <c r="F1115" s="9" t="s">
        <v>206</v>
      </c>
      <c r="G1115" s="54">
        <v>8220</v>
      </c>
      <c r="H1115" s="54">
        <f>740+740</f>
        <v>1480</v>
      </c>
      <c r="I1115" s="54">
        <f t="shared" si="49"/>
        <v>9700</v>
      </c>
      <c r="J1115" s="58" t="e">
        <f>+#REF!+#REF!+#REF!+#REF!</f>
        <v>#REF!</v>
      </c>
      <c r="K1115" s="38">
        <v>44720</v>
      </c>
    </row>
    <row r="1116" spans="1:11" s="1" customFormat="1" ht="45" x14ac:dyDescent="0.2">
      <c r="A1116" s="7">
        <v>18</v>
      </c>
      <c r="B1116" s="38">
        <v>44693</v>
      </c>
      <c r="C1116" s="9" t="s">
        <v>910</v>
      </c>
      <c r="D1116" s="9" t="s">
        <v>598</v>
      </c>
      <c r="E1116" s="9" t="s">
        <v>911</v>
      </c>
      <c r="F1116" s="9" t="s">
        <v>447</v>
      </c>
      <c r="G1116" s="54">
        <v>197250</v>
      </c>
      <c r="H1116" s="54">
        <f>17753+17753</f>
        <v>35506</v>
      </c>
      <c r="I1116" s="54">
        <f>+G1116+H1116</f>
        <v>232756</v>
      </c>
      <c r="J1116" s="58" t="e">
        <f>+#REF!+#REF!+#REF!+#REF!-1</f>
        <v>#REF!</v>
      </c>
      <c r="K1116" s="38">
        <v>44739</v>
      </c>
    </row>
    <row r="1117" spans="1:11" s="1" customFormat="1" ht="45" x14ac:dyDescent="0.2">
      <c r="A1117" s="7">
        <v>19</v>
      </c>
      <c r="B1117" s="38">
        <v>44707</v>
      </c>
      <c r="C1117" s="9" t="s">
        <v>927</v>
      </c>
      <c r="D1117" s="9" t="s">
        <v>598</v>
      </c>
      <c r="E1117" s="9" t="s">
        <v>928</v>
      </c>
      <c r="F1117" s="9" t="s">
        <v>151</v>
      </c>
      <c r="G1117" s="54">
        <v>31844</v>
      </c>
      <c r="H1117" s="54">
        <f>2866+2866</f>
        <v>5732</v>
      </c>
      <c r="I1117" s="54">
        <f>+G1117+H1117</f>
        <v>37576</v>
      </c>
      <c r="J1117" s="58" t="e">
        <f>+#REF!+#REF!+#REF!+#REF!</f>
        <v>#REF!</v>
      </c>
      <c r="K1117" s="38">
        <v>44734</v>
      </c>
    </row>
    <row r="1118" spans="1:11" s="1" customFormat="1" ht="45" x14ac:dyDescent="0.2">
      <c r="A1118" s="7">
        <v>20</v>
      </c>
      <c r="B1118" s="38">
        <v>44728</v>
      </c>
      <c r="C1118" s="9"/>
      <c r="D1118" s="9" t="s">
        <v>598</v>
      </c>
      <c r="E1118" s="9" t="s">
        <v>1267</v>
      </c>
      <c r="F1118" s="9" t="s">
        <v>158</v>
      </c>
      <c r="G1118" s="54">
        <v>1400</v>
      </c>
      <c r="H1118" s="54">
        <v>0</v>
      </c>
      <c r="I1118" s="54">
        <f t="shared" si="49"/>
        <v>1400</v>
      </c>
      <c r="J1118" s="58" t="e">
        <f>+#REF!+#REF!+#REF!+#REF!</f>
        <v>#REF!</v>
      </c>
      <c r="K1118" s="38">
        <v>44728</v>
      </c>
    </row>
    <row r="1119" spans="1:11" s="1" customFormat="1" ht="45" x14ac:dyDescent="0.2">
      <c r="A1119" s="7">
        <v>21</v>
      </c>
      <c r="B1119" s="38">
        <v>44729</v>
      </c>
      <c r="C1119" s="9" t="s">
        <v>476</v>
      </c>
      <c r="D1119" s="9" t="s">
        <v>598</v>
      </c>
      <c r="E1119" s="9" t="s">
        <v>1268</v>
      </c>
      <c r="F1119" s="9" t="s">
        <v>1210</v>
      </c>
      <c r="G1119" s="54">
        <v>3300</v>
      </c>
      <c r="H1119" s="54">
        <v>0</v>
      </c>
      <c r="I1119" s="54">
        <f t="shared" si="49"/>
        <v>3300</v>
      </c>
      <c r="J1119" s="58" t="e">
        <f>+#REF!+#REF!+#REF!+#REF!</f>
        <v>#REF!</v>
      </c>
      <c r="K1119" s="38">
        <v>44729</v>
      </c>
    </row>
    <row r="1120" spans="1:11" s="1" customFormat="1" ht="45" x14ac:dyDescent="0.2">
      <c r="A1120" s="7">
        <v>22</v>
      </c>
      <c r="B1120" s="38">
        <v>44736</v>
      </c>
      <c r="C1120" s="9" t="s">
        <v>929</v>
      </c>
      <c r="D1120" s="9" t="s">
        <v>598</v>
      </c>
      <c r="E1120" s="9" t="s">
        <v>930</v>
      </c>
      <c r="F1120" s="9" t="s">
        <v>441</v>
      </c>
      <c r="G1120" s="54">
        <v>22000</v>
      </c>
      <c r="H1120" s="54">
        <f>1980+1980</f>
        <v>3960</v>
      </c>
      <c r="I1120" s="54">
        <f t="shared" si="49"/>
        <v>25960</v>
      </c>
      <c r="J1120" s="58" t="e">
        <f>+#REF!+#REF!+#REF!+#REF!</f>
        <v>#REF!</v>
      </c>
      <c r="K1120" s="38">
        <v>44769</v>
      </c>
    </row>
    <row r="1121" spans="1:11" s="1" customFormat="1" ht="90" x14ac:dyDescent="0.2">
      <c r="A1121" s="7">
        <v>23</v>
      </c>
      <c r="B1121" s="38">
        <v>44781</v>
      </c>
      <c r="C1121" s="9" t="s">
        <v>1274</v>
      </c>
      <c r="D1121" s="9" t="s">
        <v>598</v>
      </c>
      <c r="E1121" s="9" t="s">
        <v>1275</v>
      </c>
      <c r="F1121" s="9" t="s">
        <v>43</v>
      </c>
      <c r="G1121" s="54">
        <v>15041.52</v>
      </c>
      <c r="H1121" s="54">
        <f>1354+1354</f>
        <v>2708</v>
      </c>
      <c r="I1121" s="54">
        <f>+G1121+H1121</f>
        <v>17749.52</v>
      </c>
      <c r="J1121" s="58" t="e">
        <f>+#REF!+#REF!+#REF!+#REF!-0.52</f>
        <v>#REF!</v>
      </c>
      <c r="K1121" s="38">
        <v>44826</v>
      </c>
    </row>
    <row r="1122" spans="1:11" s="1" customFormat="1" ht="90" x14ac:dyDescent="0.2">
      <c r="A1122" s="7">
        <v>24</v>
      </c>
      <c r="B1122" s="38">
        <v>44806</v>
      </c>
      <c r="C1122" s="9" t="s">
        <v>1276</v>
      </c>
      <c r="D1122" s="9" t="s">
        <v>598</v>
      </c>
      <c r="E1122" s="9" t="s">
        <v>1277</v>
      </c>
      <c r="F1122" s="9" t="s">
        <v>39</v>
      </c>
      <c r="G1122" s="54">
        <v>87666</v>
      </c>
      <c r="H1122" s="54">
        <f>7890+7890</f>
        <v>15780</v>
      </c>
      <c r="I1122" s="54">
        <f>+G1122+H1122</f>
        <v>103446</v>
      </c>
      <c r="J1122" s="58" t="e">
        <f>+#REF!+#REF!+#REF!+#REF!</f>
        <v>#REF!</v>
      </c>
      <c r="K1122" s="38">
        <v>44834</v>
      </c>
    </row>
    <row r="1123" spans="1:11" s="1" customFormat="1" ht="75" x14ac:dyDescent="0.2">
      <c r="A1123" s="7">
        <v>25</v>
      </c>
      <c r="B1123" s="38">
        <v>44812</v>
      </c>
      <c r="C1123" s="9">
        <v>56</v>
      </c>
      <c r="D1123" s="9" t="s">
        <v>598</v>
      </c>
      <c r="E1123" s="9" t="s">
        <v>1278</v>
      </c>
      <c r="F1123" s="9" t="s">
        <v>1134</v>
      </c>
      <c r="G1123" s="54">
        <v>27800</v>
      </c>
      <c r="H1123" s="54">
        <v>5004</v>
      </c>
      <c r="I1123" s="54">
        <f t="shared" si="49"/>
        <v>32804</v>
      </c>
      <c r="J1123" s="58" t="e">
        <f>+#REF!+#REF!+#REF!+#REF!</f>
        <v>#REF!</v>
      </c>
      <c r="K1123" s="38">
        <v>44854</v>
      </c>
    </row>
    <row r="1124" spans="1:11" s="1" customFormat="1" ht="45" x14ac:dyDescent="0.2">
      <c r="A1124" s="7">
        <v>26</v>
      </c>
      <c r="B1124" s="38">
        <v>44812</v>
      </c>
      <c r="C1124" s="9"/>
      <c r="D1124" s="9" t="s">
        <v>598</v>
      </c>
      <c r="E1124" s="9" t="s">
        <v>1281</v>
      </c>
      <c r="F1124" s="9" t="s">
        <v>909</v>
      </c>
      <c r="G1124" s="54">
        <v>1060</v>
      </c>
      <c r="H1124" s="54">
        <v>0</v>
      </c>
      <c r="I1124" s="54">
        <f t="shared" si="49"/>
        <v>1060</v>
      </c>
      <c r="J1124" s="58" t="e">
        <f>+#REF!+#REF!+#REF!+#REF!</f>
        <v>#REF!</v>
      </c>
      <c r="K1124" s="38">
        <v>44811</v>
      </c>
    </row>
    <row r="1125" spans="1:11" s="1" customFormat="1" ht="45" x14ac:dyDescent="0.2">
      <c r="A1125" s="7">
        <v>27</v>
      </c>
      <c r="B1125" s="38">
        <v>44828</v>
      </c>
      <c r="C1125" s="9" t="s">
        <v>1282</v>
      </c>
      <c r="D1125" s="9" t="s">
        <v>598</v>
      </c>
      <c r="E1125" s="9" t="s">
        <v>1283</v>
      </c>
      <c r="F1125" s="9" t="s">
        <v>39</v>
      </c>
      <c r="G1125" s="54">
        <v>16093</v>
      </c>
      <c r="H1125" s="54">
        <f>1448+1448</f>
        <v>2896</v>
      </c>
      <c r="I1125" s="54">
        <f t="shared" si="49"/>
        <v>18989</v>
      </c>
      <c r="J1125" s="58" t="e">
        <f>+#REF!+#REF!+#REF!+#REF!+1</f>
        <v>#REF!</v>
      </c>
      <c r="K1125" s="38">
        <v>44834</v>
      </c>
    </row>
    <row r="1126" spans="1:11" s="1" customFormat="1" ht="90" x14ac:dyDescent="0.2">
      <c r="A1126" s="7">
        <v>28</v>
      </c>
      <c r="B1126" s="38">
        <v>44830</v>
      </c>
      <c r="C1126" s="9" t="s">
        <v>1284</v>
      </c>
      <c r="D1126" s="9" t="s">
        <v>598</v>
      </c>
      <c r="E1126" s="9" t="s">
        <v>2133</v>
      </c>
      <c r="F1126" s="9" t="s">
        <v>441</v>
      </c>
      <c r="G1126" s="54">
        <v>24700</v>
      </c>
      <c r="H1126" s="54">
        <f>2223+2223</f>
        <v>4446</v>
      </c>
      <c r="I1126" s="54">
        <f t="shared" si="49"/>
        <v>29146</v>
      </c>
      <c r="J1126" s="58" t="e">
        <f>+#REF!+#REF!+#REF!+#REF!</f>
        <v>#REF!</v>
      </c>
      <c r="K1126" s="38">
        <v>44854</v>
      </c>
    </row>
    <row r="1127" spans="1:11" s="1" customFormat="1" ht="75" x14ac:dyDescent="0.2">
      <c r="A1127" s="7">
        <v>29</v>
      </c>
      <c r="B1127" s="38">
        <v>44830</v>
      </c>
      <c r="C1127" s="9" t="s">
        <v>1285</v>
      </c>
      <c r="D1127" s="9" t="s">
        <v>598</v>
      </c>
      <c r="E1127" s="9" t="s">
        <v>1286</v>
      </c>
      <c r="F1127" s="9" t="s">
        <v>206</v>
      </c>
      <c r="G1127" s="54">
        <v>15560.8</v>
      </c>
      <c r="H1127" s="54">
        <f>1400+1400</f>
        <v>2800</v>
      </c>
      <c r="I1127" s="54">
        <f t="shared" si="49"/>
        <v>18360.8</v>
      </c>
      <c r="J1127" s="58" t="e">
        <f>+#REF!+#REF!+#REF!+#REF!+1.2</f>
        <v>#REF!</v>
      </c>
      <c r="K1127" s="38">
        <v>44854</v>
      </c>
    </row>
    <row r="1128" spans="1:11" s="1" customFormat="1" ht="45" x14ac:dyDescent="0.2">
      <c r="A1128" s="7">
        <v>30</v>
      </c>
      <c r="B1128" s="38">
        <v>44838</v>
      </c>
      <c r="C1128" s="9">
        <v>68</v>
      </c>
      <c r="D1128" s="9" t="s">
        <v>598</v>
      </c>
      <c r="E1128" s="9" t="s">
        <v>1287</v>
      </c>
      <c r="F1128" s="9" t="s">
        <v>1134</v>
      </c>
      <c r="G1128" s="54">
        <v>14500</v>
      </c>
      <c r="H1128" s="54">
        <v>2610</v>
      </c>
      <c r="I1128" s="54">
        <f t="shared" si="49"/>
        <v>17110</v>
      </c>
      <c r="J1128" s="58" t="e">
        <f>+#REF!+#REF!+#REF!+#REF!</f>
        <v>#REF!</v>
      </c>
      <c r="K1128" s="38">
        <v>44882</v>
      </c>
    </row>
    <row r="1129" spans="1:11" s="1" customFormat="1" ht="45" x14ac:dyDescent="0.2">
      <c r="A1129" s="7">
        <v>31</v>
      </c>
      <c r="B1129" s="38">
        <v>44854</v>
      </c>
      <c r="C1129" s="9" t="s">
        <v>476</v>
      </c>
      <c r="D1129" s="9" t="s">
        <v>598</v>
      </c>
      <c r="E1129" s="9" t="s">
        <v>1288</v>
      </c>
      <c r="F1129" s="9" t="s">
        <v>762</v>
      </c>
      <c r="G1129" s="54">
        <v>1500</v>
      </c>
      <c r="H1129" s="54">
        <v>0</v>
      </c>
      <c r="I1129" s="54">
        <f t="shared" ref="I1129:I1134" si="50">+G1129+H1129</f>
        <v>1500</v>
      </c>
      <c r="J1129" s="58" t="e">
        <f>+#REF!+#REF!+#REF!+#REF!</f>
        <v>#REF!</v>
      </c>
      <c r="K1129" s="38">
        <v>44854</v>
      </c>
    </row>
    <row r="1130" spans="1:11" s="1" customFormat="1" ht="45" x14ac:dyDescent="0.2">
      <c r="A1130" s="7">
        <v>32</v>
      </c>
      <c r="B1130" s="38">
        <v>44862</v>
      </c>
      <c r="C1130" s="9" t="s">
        <v>1290</v>
      </c>
      <c r="D1130" s="9" t="s">
        <v>598</v>
      </c>
      <c r="E1130" s="9" t="s">
        <v>1291</v>
      </c>
      <c r="F1130" s="9" t="s">
        <v>441</v>
      </c>
      <c r="G1130" s="54">
        <v>10000</v>
      </c>
      <c r="H1130" s="54">
        <f>900+900</f>
        <v>1800</v>
      </c>
      <c r="I1130" s="54">
        <f t="shared" si="50"/>
        <v>11800</v>
      </c>
      <c r="J1130" s="58" t="e">
        <f>+#REF!+#REF!+#REF!+#REF!</f>
        <v>#REF!</v>
      </c>
      <c r="K1130" s="38">
        <v>44881</v>
      </c>
    </row>
    <row r="1131" spans="1:11" s="1" customFormat="1" ht="60" x14ac:dyDescent="0.2">
      <c r="A1131" s="7">
        <v>33</v>
      </c>
      <c r="B1131" s="38">
        <v>44893</v>
      </c>
      <c r="C1131" s="9" t="s">
        <v>1292</v>
      </c>
      <c r="D1131" s="9" t="s">
        <v>598</v>
      </c>
      <c r="E1131" s="9" t="s">
        <v>1293</v>
      </c>
      <c r="F1131" s="9" t="s">
        <v>874</v>
      </c>
      <c r="G1131" s="54">
        <v>86000</v>
      </c>
      <c r="H1131" s="54">
        <f>7740+7740</f>
        <v>15480</v>
      </c>
      <c r="I1131" s="54">
        <f t="shared" si="50"/>
        <v>101480</v>
      </c>
      <c r="J1131" s="58" t="e">
        <f>+#REF!+#REF!+#REF!+#REF!</f>
        <v>#REF!</v>
      </c>
      <c r="K1131" s="38">
        <v>44910</v>
      </c>
    </row>
    <row r="1132" spans="1:11" s="1" customFormat="1" ht="45" x14ac:dyDescent="0.2">
      <c r="A1132" s="7">
        <v>34</v>
      </c>
      <c r="B1132" s="38">
        <v>44912</v>
      </c>
      <c r="C1132" s="9" t="s">
        <v>1295</v>
      </c>
      <c r="D1132" s="9" t="s">
        <v>598</v>
      </c>
      <c r="E1132" s="9" t="s">
        <v>1296</v>
      </c>
      <c r="F1132" s="9" t="s">
        <v>151</v>
      </c>
      <c r="G1132" s="54">
        <v>5950</v>
      </c>
      <c r="H1132" s="54">
        <f>536+536</f>
        <v>1072</v>
      </c>
      <c r="I1132" s="54">
        <f t="shared" si="50"/>
        <v>7022</v>
      </c>
      <c r="J1132" s="58" t="e">
        <f>+#REF!+#REF!+#REF!+#REF!-1</f>
        <v>#REF!</v>
      </c>
      <c r="K1132" s="8">
        <v>44953</v>
      </c>
    </row>
    <row r="1133" spans="1:11" s="1" customFormat="1" ht="45" x14ac:dyDescent="0.2">
      <c r="A1133" s="7">
        <v>35</v>
      </c>
      <c r="B1133" s="38">
        <v>44984</v>
      </c>
      <c r="C1133" s="9" t="s">
        <v>1020</v>
      </c>
      <c r="D1133" s="9" t="s">
        <v>598</v>
      </c>
      <c r="E1133" s="9" t="s">
        <v>1021</v>
      </c>
      <c r="F1133" s="9" t="s">
        <v>1022</v>
      </c>
      <c r="G1133" s="54">
        <v>1050000</v>
      </c>
      <c r="H1133" s="54">
        <f>94500+94500</f>
        <v>189000</v>
      </c>
      <c r="I1133" s="54">
        <f t="shared" si="50"/>
        <v>1239000</v>
      </c>
      <c r="J1133" s="58" t="e">
        <f>+#REF!+#REF!+#REF!+#REF!</f>
        <v>#REF!</v>
      </c>
      <c r="K1133" s="38" t="s">
        <v>1926</v>
      </c>
    </row>
    <row r="1134" spans="1:11" s="1" customFormat="1" ht="45" x14ac:dyDescent="0.2">
      <c r="A1134" s="7">
        <v>36</v>
      </c>
      <c r="B1134" s="38">
        <v>44984</v>
      </c>
      <c r="C1134" s="9"/>
      <c r="D1134" s="9" t="s">
        <v>598</v>
      </c>
      <c r="E1134" s="9" t="s">
        <v>1023</v>
      </c>
      <c r="F1134" s="9" t="s">
        <v>915</v>
      </c>
      <c r="G1134" s="54">
        <v>3800</v>
      </c>
      <c r="H1134" s="54">
        <v>0</v>
      </c>
      <c r="I1134" s="54">
        <f t="shared" si="50"/>
        <v>3800</v>
      </c>
      <c r="J1134" s="58" t="e">
        <f>+#REF!+#REF!+#REF!+#REF!</f>
        <v>#REF!</v>
      </c>
      <c r="K1134" s="38">
        <v>44984</v>
      </c>
    </row>
    <row r="1135" spans="1:11" s="1" customFormat="1" ht="105" x14ac:dyDescent="0.2">
      <c r="A1135" s="7">
        <v>37</v>
      </c>
      <c r="B1135" s="38">
        <v>45037</v>
      </c>
      <c r="C1135" s="9" t="s">
        <v>1327</v>
      </c>
      <c r="D1135" s="9" t="s">
        <v>598</v>
      </c>
      <c r="E1135" s="9" t="s">
        <v>1328</v>
      </c>
      <c r="F1135" s="9" t="s">
        <v>665</v>
      </c>
      <c r="G1135" s="54">
        <v>11047.75</v>
      </c>
      <c r="H1135" s="54">
        <f>602+602+608+608</f>
        <v>2420</v>
      </c>
      <c r="I1135" s="54">
        <f t="shared" ref="I1135:I1148" si="51">+G1135+H1135</f>
        <v>13467.75</v>
      </c>
      <c r="J1135" s="58" t="e">
        <f>+#REF!+#REF!+#REF!+#REF!-1.75</f>
        <v>#REF!</v>
      </c>
      <c r="K1135" s="8">
        <v>45071</v>
      </c>
    </row>
    <row r="1136" spans="1:11" s="1" customFormat="1" ht="45" x14ac:dyDescent="0.2">
      <c r="A1136" s="7">
        <v>38</v>
      </c>
      <c r="B1136" s="38">
        <v>45021</v>
      </c>
      <c r="C1136" s="9" t="s">
        <v>1185</v>
      </c>
      <c r="D1136" s="9" t="s">
        <v>598</v>
      </c>
      <c r="E1136" s="9" t="s">
        <v>2137</v>
      </c>
      <c r="F1136" s="9" t="s">
        <v>441</v>
      </c>
      <c r="G1136" s="54">
        <v>13100</v>
      </c>
      <c r="H1136" s="54">
        <f>1179+1179</f>
        <v>2358</v>
      </c>
      <c r="I1136" s="54">
        <f t="shared" si="51"/>
        <v>15458</v>
      </c>
      <c r="J1136" s="58" t="e">
        <f>+#REF!+#REF!+#REF!+#REF!</f>
        <v>#REF!</v>
      </c>
      <c r="K1136" s="8">
        <v>45076</v>
      </c>
    </row>
    <row r="1137" spans="1:11" s="1" customFormat="1" ht="45" x14ac:dyDescent="0.2">
      <c r="A1137" s="7">
        <v>39</v>
      </c>
      <c r="B1137" s="38">
        <v>45022</v>
      </c>
      <c r="C1137" s="9" t="s">
        <v>1186</v>
      </c>
      <c r="D1137" s="9" t="s">
        <v>598</v>
      </c>
      <c r="E1137" s="9" t="s">
        <v>2138</v>
      </c>
      <c r="F1137" s="9" t="s">
        <v>206</v>
      </c>
      <c r="G1137" s="54">
        <v>15950</v>
      </c>
      <c r="H1137" s="54">
        <f>1436+1436</f>
        <v>2872</v>
      </c>
      <c r="I1137" s="54">
        <f t="shared" si="51"/>
        <v>18822</v>
      </c>
      <c r="J1137" s="58" t="e">
        <f>+#REF!+#REF!+#REF!+#REF!-1</f>
        <v>#REF!</v>
      </c>
      <c r="K1137" s="58"/>
    </row>
    <row r="1138" spans="1:11" s="1" customFormat="1" ht="60" x14ac:dyDescent="0.2">
      <c r="A1138" s="7">
        <v>40</v>
      </c>
      <c r="B1138" s="38">
        <v>45024</v>
      </c>
      <c r="C1138" s="9" t="s">
        <v>1187</v>
      </c>
      <c r="D1138" s="9" t="s">
        <v>598</v>
      </c>
      <c r="E1138" s="9" t="s">
        <v>1188</v>
      </c>
      <c r="F1138" s="9" t="s">
        <v>206</v>
      </c>
      <c r="G1138" s="54">
        <v>16600</v>
      </c>
      <c r="H1138" s="54">
        <f>1494+1494</f>
        <v>2988</v>
      </c>
      <c r="I1138" s="54">
        <f t="shared" si="51"/>
        <v>19588</v>
      </c>
      <c r="J1138" s="58" t="e">
        <f>+#REF!+#REF!+#REF!+#REF!</f>
        <v>#REF!</v>
      </c>
      <c r="K1138" s="58"/>
    </row>
    <row r="1139" spans="1:11" s="1" customFormat="1" ht="45" x14ac:dyDescent="0.2">
      <c r="A1139" s="7">
        <v>41</v>
      </c>
      <c r="B1139" s="38">
        <v>45024</v>
      </c>
      <c r="C1139" s="9" t="s">
        <v>1189</v>
      </c>
      <c r="D1139" s="9" t="s">
        <v>598</v>
      </c>
      <c r="E1139" s="9" t="s">
        <v>1190</v>
      </c>
      <c r="F1139" s="9" t="s">
        <v>441</v>
      </c>
      <c r="G1139" s="54">
        <v>5800</v>
      </c>
      <c r="H1139" s="54">
        <f>522+522</f>
        <v>1044</v>
      </c>
      <c r="I1139" s="54">
        <f t="shared" si="51"/>
        <v>6844</v>
      </c>
      <c r="J1139" s="58" t="e">
        <f>+#REF!+#REF!+#REF!+#REF!</f>
        <v>#REF!</v>
      </c>
      <c r="K1139" s="8">
        <v>45076</v>
      </c>
    </row>
    <row r="1140" spans="1:11" s="1" customFormat="1" ht="45" x14ac:dyDescent="0.2">
      <c r="A1140" s="7">
        <v>42</v>
      </c>
      <c r="B1140" s="38">
        <v>45024</v>
      </c>
      <c r="C1140" s="9" t="s">
        <v>1191</v>
      </c>
      <c r="D1140" s="9" t="s">
        <v>598</v>
      </c>
      <c r="E1140" s="9" t="s">
        <v>1192</v>
      </c>
      <c r="F1140" s="9" t="s">
        <v>441</v>
      </c>
      <c r="G1140" s="54">
        <v>8352</v>
      </c>
      <c r="H1140" s="54">
        <f>752+752</f>
        <v>1504</v>
      </c>
      <c r="I1140" s="54">
        <f t="shared" si="51"/>
        <v>9856</v>
      </c>
      <c r="J1140" s="58" t="e">
        <f>+#REF!+#REF!+#REF!+#REF!-1</f>
        <v>#REF!</v>
      </c>
      <c r="K1140" s="8">
        <v>45076</v>
      </c>
    </row>
    <row r="1141" spans="1:11" s="1" customFormat="1" ht="45" x14ac:dyDescent="0.2">
      <c r="A1141" s="7">
        <v>43</v>
      </c>
      <c r="B1141" s="38">
        <v>45026</v>
      </c>
      <c r="C1141" s="9" t="s">
        <v>1193</v>
      </c>
      <c r="D1141" s="9" t="s">
        <v>598</v>
      </c>
      <c r="E1141" s="9" t="s">
        <v>1194</v>
      </c>
      <c r="F1141" s="9" t="s">
        <v>43</v>
      </c>
      <c r="G1141" s="54">
        <v>8813.56</v>
      </c>
      <c r="H1141" s="54">
        <f>793+793</f>
        <v>1586</v>
      </c>
      <c r="I1141" s="54">
        <f t="shared" si="51"/>
        <v>10399.56</v>
      </c>
      <c r="J1141" s="58" t="e">
        <f>+#REF!+#REF!+#REF!+#REF!+0.44</f>
        <v>#REF!</v>
      </c>
      <c r="K1141" s="8">
        <v>45076</v>
      </c>
    </row>
    <row r="1142" spans="1:11" s="1" customFormat="1" ht="45" x14ac:dyDescent="0.2">
      <c r="A1142" s="7">
        <v>44</v>
      </c>
      <c r="B1142" s="38">
        <v>45026</v>
      </c>
      <c r="C1142" s="9" t="s">
        <v>1197</v>
      </c>
      <c r="D1142" s="9" t="s">
        <v>598</v>
      </c>
      <c r="E1142" s="9" t="s">
        <v>2127</v>
      </c>
      <c r="F1142" s="9" t="s">
        <v>441</v>
      </c>
      <c r="G1142" s="54">
        <v>20002</v>
      </c>
      <c r="H1142" s="54">
        <f>1800+1800</f>
        <v>3600</v>
      </c>
      <c r="I1142" s="54">
        <f t="shared" si="51"/>
        <v>23602</v>
      </c>
      <c r="J1142" s="58" t="e">
        <f>+#REF!+#REF!+#REF!+#REF!+1</f>
        <v>#REF!</v>
      </c>
      <c r="K1142" s="8">
        <v>45076</v>
      </c>
    </row>
    <row r="1143" spans="1:11" s="1" customFormat="1" ht="45" x14ac:dyDescent="0.2">
      <c r="A1143" s="7">
        <v>45</v>
      </c>
      <c r="B1143" s="38">
        <v>45026</v>
      </c>
      <c r="C1143" s="9" t="s">
        <v>1198</v>
      </c>
      <c r="D1143" s="9" t="s">
        <v>598</v>
      </c>
      <c r="E1143" s="9" t="s">
        <v>1199</v>
      </c>
      <c r="F1143" s="9" t="s">
        <v>43</v>
      </c>
      <c r="G1143" s="54">
        <v>2760</v>
      </c>
      <c r="H1143" s="54">
        <f>248+248</f>
        <v>496</v>
      </c>
      <c r="I1143" s="54">
        <f t="shared" si="51"/>
        <v>3256</v>
      </c>
      <c r="J1143" s="58" t="e">
        <f>+#REF!+#REF!+#REF!+#REF!+1</f>
        <v>#REF!</v>
      </c>
      <c r="K1143" s="8">
        <v>45076</v>
      </c>
    </row>
    <row r="1144" spans="1:11" s="1" customFormat="1" ht="45" x14ac:dyDescent="0.2">
      <c r="A1144" s="7">
        <v>46</v>
      </c>
      <c r="B1144" s="38">
        <v>45030</v>
      </c>
      <c r="C1144" s="9" t="s">
        <v>1200</v>
      </c>
      <c r="D1144" s="9" t="s">
        <v>598</v>
      </c>
      <c r="E1144" s="9" t="s">
        <v>1201</v>
      </c>
      <c r="F1144" s="9" t="s">
        <v>441</v>
      </c>
      <c r="G1144" s="54">
        <v>12720</v>
      </c>
      <c r="H1144" s="54">
        <f>1145+1145</f>
        <v>2290</v>
      </c>
      <c r="I1144" s="54">
        <f t="shared" si="51"/>
        <v>15010</v>
      </c>
      <c r="J1144" s="58" t="e">
        <f>+#REF!+#REF!+#REF!+#REF!</f>
        <v>#REF!</v>
      </c>
      <c r="K1144" s="8">
        <v>45076</v>
      </c>
    </row>
    <row r="1145" spans="1:11" s="1" customFormat="1" ht="60" x14ac:dyDescent="0.2">
      <c r="A1145" s="7">
        <v>47</v>
      </c>
      <c r="B1145" s="38">
        <v>45031</v>
      </c>
      <c r="C1145" s="9" t="s">
        <v>1202</v>
      </c>
      <c r="D1145" s="9" t="s">
        <v>598</v>
      </c>
      <c r="E1145" s="9" t="s">
        <v>1203</v>
      </c>
      <c r="F1145" s="9" t="s">
        <v>206</v>
      </c>
      <c r="G1145" s="54">
        <v>12370</v>
      </c>
      <c r="H1145" s="54">
        <f>78+78+459+459</f>
        <v>1074</v>
      </c>
      <c r="I1145" s="54">
        <f t="shared" si="51"/>
        <v>13444</v>
      </c>
      <c r="J1145" s="58" t="e">
        <f>+#REF!+#REF!+#REF!+#REF!-1</f>
        <v>#REF!</v>
      </c>
      <c r="K1145" s="58"/>
    </row>
    <row r="1146" spans="1:11" s="1" customFormat="1" ht="45" x14ac:dyDescent="0.2">
      <c r="A1146" s="7">
        <v>48</v>
      </c>
      <c r="B1146" s="38">
        <v>45031</v>
      </c>
      <c r="C1146" s="9" t="s">
        <v>1205</v>
      </c>
      <c r="D1146" s="9" t="s">
        <v>598</v>
      </c>
      <c r="E1146" s="9" t="s">
        <v>1204</v>
      </c>
      <c r="F1146" s="9" t="s">
        <v>1206</v>
      </c>
      <c r="G1146" s="54">
        <v>2850</v>
      </c>
      <c r="H1146" s="54">
        <f>71+71</f>
        <v>142</v>
      </c>
      <c r="I1146" s="54">
        <f t="shared" si="51"/>
        <v>2992</v>
      </c>
      <c r="J1146" s="58" t="e">
        <f>+#REF!+#REF!+#REF!+#REF!+1</f>
        <v>#REF!</v>
      </c>
      <c r="K1146" s="8">
        <v>45076</v>
      </c>
    </row>
    <row r="1147" spans="1:11" s="1" customFormat="1" ht="45" x14ac:dyDescent="0.2">
      <c r="A1147" s="7">
        <v>49</v>
      </c>
      <c r="B1147" s="38">
        <v>45033</v>
      </c>
      <c r="C1147" s="9" t="s">
        <v>476</v>
      </c>
      <c r="D1147" s="9" t="s">
        <v>598</v>
      </c>
      <c r="E1147" s="9" t="s">
        <v>1207</v>
      </c>
      <c r="F1147" s="9" t="s">
        <v>675</v>
      </c>
      <c r="G1147" s="54">
        <v>6000</v>
      </c>
      <c r="H1147" s="54">
        <v>0</v>
      </c>
      <c r="I1147" s="54">
        <f t="shared" si="51"/>
        <v>6000</v>
      </c>
      <c r="J1147" s="58" t="e">
        <f>+#REF!+#REF!+#REF!+#REF!</f>
        <v>#REF!</v>
      </c>
      <c r="K1147" s="38">
        <v>45033</v>
      </c>
    </row>
    <row r="1148" spans="1:11" s="1" customFormat="1" ht="45" x14ac:dyDescent="0.2">
      <c r="A1148" s="7">
        <v>50</v>
      </c>
      <c r="B1148" s="38">
        <v>45033</v>
      </c>
      <c r="C1148" s="9" t="s">
        <v>1208</v>
      </c>
      <c r="D1148" s="9" t="s">
        <v>598</v>
      </c>
      <c r="E1148" s="9" t="s">
        <v>2128</v>
      </c>
      <c r="F1148" s="9" t="s">
        <v>441</v>
      </c>
      <c r="G1148" s="54">
        <v>25420</v>
      </c>
      <c r="H1148" s="54">
        <f>2288+2288</f>
        <v>4576</v>
      </c>
      <c r="I1148" s="54">
        <f t="shared" si="51"/>
        <v>29996</v>
      </c>
      <c r="J1148" s="58" t="e">
        <f>+#REF!+#REF!+#REF!+#REF!</f>
        <v>#REF!</v>
      </c>
      <c r="K1148" s="8">
        <v>45076</v>
      </c>
    </row>
    <row r="1149" spans="1:11" s="1" customFormat="1" ht="45" x14ac:dyDescent="0.2">
      <c r="A1149" s="7">
        <v>51</v>
      </c>
      <c r="B1149" s="38">
        <v>45033</v>
      </c>
      <c r="C1149" s="9" t="s">
        <v>1209</v>
      </c>
      <c r="D1149" s="9" t="s">
        <v>598</v>
      </c>
      <c r="E1149" s="9" t="s">
        <v>2129</v>
      </c>
      <c r="F1149" s="9" t="s">
        <v>441</v>
      </c>
      <c r="G1149" s="54">
        <v>2400</v>
      </c>
      <c r="H1149" s="54">
        <f>216+216</f>
        <v>432</v>
      </c>
      <c r="I1149" s="54">
        <f t="shared" ref="I1149:I1175" si="52">+G1149+H1149</f>
        <v>2832</v>
      </c>
      <c r="J1149" s="58" t="e">
        <f>+#REF!+#REF!+#REF!+#REF!</f>
        <v>#REF!</v>
      </c>
      <c r="K1149" s="8">
        <v>45076</v>
      </c>
    </row>
    <row r="1150" spans="1:11" s="1" customFormat="1" ht="45" x14ac:dyDescent="0.2">
      <c r="A1150" s="7">
        <v>52</v>
      </c>
      <c r="B1150" s="38">
        <v>45034</v>
      </c>
      <c r="C1150" s="9" t="s">
        <v>476</v>
      </c>
      <c r="D1150" s="9" t="s">
        <v>598</v>
      </c>
      <c r="E1150" s="9" t="s">
        <v>1211</v>
      </c>
      <c r="F1150" s="9" t="s">
        <v>1210</v>
      </c>
      <c r="G1150" s="54">
        <v>2000</v>
      </c>
      <c r="H1150" s="54">
        <v>0</v>
      </c>
      <c r="I1150" s="54">
        <f t="shared" si="52"/>
        <v>2000</v>
      </c>
      <c r="J1150" s="58" t="e">
        <f>+#REF!+#REF!+#REF!+#REF!</f>
        <v>#REF!</v>
      </c>
      <c r="K1150" s="38">
        <v>45034</v>
      </c>
    </row>
    <row r="1151" spans="1:11" s="1" customFormat="1" ht="45" x14ac:dyDescent="0.2">
      <c r="A1151" s="7">
        <v>53</v>
      </c>
      <c r="B1151" s="38">
        <v>45035</v>
      </c>
      <c r="C1151" s="9" t="s">
        <v>1212</v>
      </c>
      <c r="D1151" s="9" t="s">
        <v>598</v>
      </c>
      <c r="E1151" s="9" t="s">
        <v>1213</v>
      </c>
      <c r="F1151" s="9" t="s">
        <v>43</v>
      </c>
      <c r="G1151" s="54">
        <v>12994.96</v>
      </c>
      <c r="H1151" s="54">
        <f>1170+1170</f>
        <v>2340</v>
      </c>
      <c r="I1151" s="54">
        <f t="shared" si="52"/>
        <v>15334.96</v>
      </c>
      <c r="J1151" s="58" t="e">
        <f>+#REF!+#REF!+#REF!+#REF!-0.96</f>
        <v>#REF!</v>
      </c>
      <c r="K1151" s="8">
        <v>45076</v>
      </c>
    </row>
    <row r="1152" spans="1:11" s="1" customFormat="1" ht="45" x14ac:dyDescent="0.2">
      <c r="A1152" s="7">
        <v>54</v>
      </c>
      <c r="B1152" s="38">
        <v>45035</v>
      </c>
      <c r="C1152" s="9" t="s">
        <v>1214</v>
      </c>
      <c r="D1152" s="9" t="s">
        <v>598</v>
      </c>
      <c r="E1152" s="9" t="s">
        <v>1215</v>
      </c>
      <c r="F1152" s="9" t="s">
        <v>43</v>
      </c>
      <c r="G1152" s="54">
        <v>1200</v>
      </c>
      <c r="H1152" s="54">
        <f>108+108</f>
        <v>216</v>
      </c>
      <c r="I1152" s="54">
        <f t="shared" si="52"/>
        <v>1416</v>
      </c>
      <c r="J1152" s="58" t="e">
        <f>+#REF!+#REF!+#REF!+#REF!</f>
        <v>#REF!</v>
      </c>
      <c r="K1152" s="8">
        <v>45076</v>
      </c>
    </row>
    <row r="1153" spans="1:11" s="1" customFormat="1" ht="45" x14ac:dyDescent="0.2">
      <c r="A1153" s="7">
        <v>55</v>
      </c>
      <c r="B1153" s="38">
        <v>45035</v>
      </c>
      <c r="C1153" s="9" t="s">
        <v>1216</v>
      </c>
      <c r="D1153" s="9" t="s">
        <v>598</v>
      </c>
      <c r="E1153" s="9" t="s">
        <v>1218</v>
      </c>
      <c r="F1153" s="9" t="s">
        <v>1217</v>
      </c>
      <c r="G1153" s="54">
        <v>24832</v>
      </c>
      <c r="H1153" s="54">
        <f>2235+2235</f>
        <v>4470</v>
      </c>
      <c r="I1153" s="54">
        <f t="shared" si="52"/>
        <v>29302</v>
      </c>
      <c r="J1153" s="58" t="e">
        <f>+#REF!+#REF!+#REF!+#REF!</f>
        <v>#REF!</v>
      </c>
      <c r="K1153" s="8">
        <v>45071</v>
      </c>
    </row>
    <row r="1154" spans="1:11" s="1" customFormat="1" ht="45" x14ac:dyDescent="0.2">
      <c r="A1154" s="7">
        <v>56</v>
      </c>
      <c r="B1154" s="38">
        <v>45035</v>
      </c>
      <c r="C1154" s="9" t="s">
        <v>1219</v>
      </c>
      <c r="D1154" s="9" t="s">
        <v>598</v>
      </c>
      <c r="E1154" s="9" t="s">
        <v>1220</v>
      </c>
      <c r="F1154" s="9" t="s">
        <v>39</v>
      </c>
      <c r="G1154" s="54">
        <v>40814</v>
      </c>
      <c r="H1154" s="54">
        <f>3673+3673</f>
        <v>7346</v>
      </c>
      <c r="I1154" s="54">
        <f t="shared" si="52"/>
        <v>48160</v>
      </c>
      <c r="J1154" s="58" t="e">
        <f>+#REF!+#REF!+#REF!+#REF!+1</f>
        <v>#REF!</v>
      </c>
      <c r="K1154" s="8">
        <v>45056</v>
      </c>
    </row>
    <row r="1155" spans="1:11" s="1" customFormat="1" ht="45" x14ac:dyDescent="0.2">
      <c r="A1155" s="7">
        <v>57</v>
      </c>
      <c r="B1155" s="38">
        <v>45037</v>
      </c>
      <c r="C1155" s="9" t="s">
        <v>1222</v>
      </c>
      <c r="D1155" s="9" t="s">
        <v>598</v>
      </c>
      <c r="E1155" s="9" t="s">
        <v>1223</v>
      </c>
      <c r="F1155" s="9" t="s">
        <v>206</v>
      </c>
      <c r="G1155" s="54">
        <v>19868</v>
      </c>
      <c r="H1155" s="54">
        <f>1788+1788</f>
        <v>3576</v>
      </c>
      <c r="I1155" s="54">
        <f t="shared" si="52"/>
        <v>23444</v>
      </c>
      <c r="J1155" s="58" t="e">
        <f>+#REF!+#REF!+#REF!+#REF!</f>
        <v>#REF!</v>
      </c>
      <c r="K1155" s="58"/>
    </row>
    <row r="1156" spans="1:11" s="1" customFormat="1" ht="45" x14ac:dyDescent="0.2">
      <c r="A1156" s="7">
        <v>58</v>
      </c>
      <c r="B1156" s="38">
        <v>45037</v>
      </c>
      <c r="C1156" s="9" t="s">
        <v>1319</v>
      </c>
      <c r="D1156" s="9" t="s">
        <v>598</v>
      </c>
      <c r="E1156" s="9" t="s">
        <v>1320</v>
      </c>
      <c r="F1156" s="9" t="s">
        <v>441</v>
      </c>
      <c r="G1156" s="54">
        <v>2400</v>
      </c>
      <c r="H1156" s="54">
        <f>216+216</f>
        <v>432</v>
      </c>
      <c r="I1156" s="54">
        <f t="shared" si="52"/>
        <v>2832</v>
      </c>
      <c r="J1156" s="58" t="e">
        <f>+#REF!+#REF!+#REF!+#REF!</f>
        <v>#REF!</v>
      </c>
      <c r="K1156" s="8">
        <v>45076</v>
      </c>
    </row>
    <row r="1157" spans="1:11" s="1" customFormat="1" ht="45" x14ac:dyDescent="0.2">
      <c r="A1157" s="7">
        <v>59</v>
      </c>
      <c r="B1157" s="38">
        <v>45037</v>
      </c>
      <c r="C1157" s="9" t="s">
        <v>1321</v>
      </c>
      <c r="D1157" s="9" t="s">
        <v>598</v>
      </c>
      <c r="E1157" s="9" t="s">
        <v>2153</v>
      </c>
      <c r="F1157" s="9" t="s">
        <v>441</v>
      </c>
      <c r="G1157" s="54">
        <v>11250</v>
      </c>
      <c r="H1157" s="54">
        <f>1013+1013</f>
        <v>2026</v>
      </c>
      <c r="I1157" s="54">
        <f t="shared" si="52"/>
        <v>13276</v>
      </c>
      <c r="J1157" s="58" t="e">
        <f>+#REF!+#REF!+#REF!+#REF!-1</f>
        <v>#REF!</v>
      </c>
      <c r="K1157" s="8">
        <v>45076</v>
      </c>
    </row>
    <row r="1158" spans="1:11" s="1" customFormat="1" ht="45" x14ac:dyDescent="0.2">
      <c r="A1158" s="7">
        <v>60</v>
      </c>
      <c r="B1158" s="38">
        <v>45046</v>
      </c>
      <c r="C1158" s="9" t="s">
        <v>1392</v>
      </c>
      <c r="D1158" s="9" t="s">
        <v>598</v>
      </c>
      <c r="E1158" s="9" t="s">
        <v>1393</v>
      </c>
      <c r="F1158" s="9" t="s">
        <v>665</v>
      </c>
      <c r="G1158" s="54">
        <v>7229.64</v>
      </c>
      <c r="H1158" s="54">
        <f>651+651</f>
        <v>1302</v>
      </c>
      <c r="I1158" s="54">
        <f t="shared" si="52"/>
        <v>8531.64</v>
      </c>
      <c r="J1158" s="58" t="e">
        <f>+#REF!+#REF!+#REF!+#REF!-0.64</f>
        <v>#REF!</v>
      </c>
      <c r="K1158" s="8">
        <v>45071</v>
      </c>
    </row>
    <row r="1159" spans="1:11" s="1" customFormat="1" ht="105" x14ac:dyDescent="0.2">
      <c r="A1159" s="7">
        <v>61</v>
      </c>
      <c r="B1159" s="38">
        <v>45037</v>
      </c>
      <c r="C1159" s="9" t="s">
        <v>1498</v>
      </c>
      <c r="D1159" s="9" t="s">
        <v>598</v>
      </c>
      <c r="E1159" s="9" t="s">
        <v>1499</v>
      </c>
      <c r="F1159" s="9" t="s">
        <v>151</v>
      </c>
      <c r="G1159" s="54">
        <v>553475</v>
      </c>
      <c r="H1159" s="54">
        <f>49813+49813</f>
        <v>99626</v>
      </c>
      <c r="I1159" s="54">
        <f t="shared" si="52"/>
        <v>653101</v>
      </c>
      <c r="J1159" s="58" t="e">
        <f>+#REF!+#REF!+#REF!+#REF!</f>
        <v>#REF!</v>
      </c>
      <c r="K1159" s="8">
        <v>45086</v>
      </c>
    </row>
    <row r="1160" spans="1:11" s="1" customFormat="1" ht="45" x14ac:dyDescent="0.2">
      <c r="A1160" s="7">
        <v>62</v>
      </c>
      <c r="B1160" s="38">
        <v>45038</v>
      </c>
      <c r="C1160" s="9" t="s">
        <v>1329</v>
      </c>
      <c r="D1160" s="9" t="s">
        <v>598</v>
      </c>
      <c r="E1160" s="9" t="s">
        <v>1330</v>
      </c>
      <c r="F1160" s="9" t="s">
        <v>441</v>
      </c>
      <c r="G1160" s="54">
        <v>600</v>
      </c>
      <c r="H1160" s="54">
        <f>54+54</f>
        <v>108</v>
      </c>
      <c r="I1160" s="54">
        <f t="shared" si="52"/>
        <v>708</v>
      </c>
      <c r="J1160" s="58" t="e">
        <f>+#REF!+#REF!+#REF!+#REF!</f>
        <v>#REF!</v>
      </c>
      <c r="K1160" s="8">
        <v>45076</v>
      </c>
    </row>
    <row r="1161" spans="1:11" s="1" customFormat="1" ht="75" x14ac:dyDescent="0.2">
      <c r="A1161" s="7">
        <v>63</v>
      </c>
      <c r="B1161" s="38">
        <v>45040</v>
      </c>
      <c r="C1161" s="9" t="s">
        <v>1342</v>
      </c>
      <c r="D1161" s="9" t="s">
        <v>598</v>
      </c>
      <c r="E1161" s="9" t="s">
        <v>1343</v>
      </c>
      <c r="F1161" s="9" t="s">
        <v>39</v>
      </c>
      <c r="G1161" s="54">
        <v>77880</v>
      </c>
      <c r="H1161" s="54">
        <f>7009+7009</f>
        <v>14018</v>
      </c>
      <c r="I1161" s="54">
        <f t="shared" si="52"/>
        <v>91898</v>
      </c>
      <c r="J1161" s="58" t="e">
        <f>+#REF!+#REF!+#REF!+#REF!</f>
        <v>#REF!</v>
      </c>
      <c r="K1161" s="8">
        <v>45043</v>
      </c>
    </row>
    <row r="1162" spans="1:11" s="1" customFormat="1" ht="75" x14ac:dyDescent="0.2">
      <c r="A1162" s="7">
        <v>64</v>
      </c>
      <c r="B1162" s="38">
        <v>45041</v>
      </c>
      <c r="C1162" s="9" t="s">
        <v>1354</v>
      </c>
      <c r="D1162" s="9" t="s">
        <v>598</v>
      </c>
      <c r="E1162" s="9" t="s">
        <v>1355</v>
      </c>
      <c r="F1162" s="9" t="s">
        <v>441</v>
      </c>
      <c r="G1162" s="54">
        <v>9050</v>
      </c>
      <c r="H1162" s="54">
        <f>815+815</f>
        <v>1630</v>
      </c>
      <c r="I1162" s="54">
        <f t="shared" si="52"/>
        <v>10680</v>
      </c>
      <c r="J1162" s="58" t="e">
        <f>+#REF!+#REF!+#REF!+#REF!-1</f>
        <v>#REF!</v>
      </c>
      <c r="K1162" s="8">
        <v>45076</v>
      </c>
    </row>
    <row r="1163" spans="1:11" s="1" customFormat="1" ht="90" x14ac:dyDescent="0.2">
      <c r="A1163" s="7">
        <v>65</v>
      </c>
      <c r="B1163" s="38">
        <v>45042</v>
      </c>
      <c r="C1163" s="9" t="s">
        <v>1370</v>
      </c>
      <c r="D1163" s="9" t="s">
        <v>598</v>
      </c>
      <c r="E1163" s="9" t="s">
        <v>1371</v>
      </c>
      <c r="F1163" s="9" t="s">
        <v>43</v>
      </c>
      <c r="G1163" s="54">
        <v>13064.4</v>
      </c>
      <c r="H1163" s="54">
        <f>1176+1176</f>
        <v>2352</v>
      </c>
      <c r="I1163" s="54">
        <f t="shared" si="52"/>
        <v>15416.4</v>
      </c>
      <c r="J1163" s="58" t="e">
        <f>+#REF!+#REF!+#REF!+#REF!-0.4</f>
        <v>#REF!</v>
      </c>
      <c r="K1163" s="8">
        <v>45076</v>
      </c>
    </row>
    <row r="1164" spans="1:11" s="1" customFormat="1" ht="90" x14ac:dyDescent="0.2">
      <c r="A1164" s="7">
        <v>66</v>
      </c>
      <c r="B1164" s="38">
        <v>45043</v>
      </c>
      <c r="C1164" s="9" t="s">
        <v>1372</v>
      </c>
      <c r="D1164" s="9" t="s">
        <v>598</v>
      </c>
      <c r="E1164" s="9" t="s">
        <v>1373</v>
      </c>
      <c r="F1164" s="9" t="s">
        <v>441</v>
      </c>
      <c r="G1164" s="54">
        <v>21175</v>
      </c>
      <c r="H1164" s="54">
        <f>1906+1906</f>
        <v>3812</v>
      </c>
      <c r="I1164" s="54">
        <f t="shared" si="52"/>
        <v>24987</v>
      </c>
      <c r="J1164" s="58" t="e">
        <f>+#REF!+#REF!+#REF!+#REF!</f>
        <v>#REF!</v>
      </c>
      <c r="K1164" s="8">
        <v>45076</v>
      </c>
    </row>
    <row r="1165" spans="1:11" s="1" customFormat="1" ht="45" x14ac:dyDescent="0.2">
      <c r="A1165" s="7">
        <v>67</v>
      </c>
      <c r="B1165" s="38">
        <v>45044</v>
      </c>
      <c r="C1165" s="9" t="s">
        <v>1374</v>
      </c>
      <c r="D1165" s="9" t="s">
        <v>598</v>
      </c>
      <c r="E1165" s="9" t="s">
        <v>1375</v>
      </c>
      <c r="F1165" s="9" t="s">
        <v>43</v>
      </c>
      <c r="G1165" s="54">
        <v>2760</v>
      </c>
      <c r="H1165" s="54">
        <f>248+248</f>
        <v>496</v>
      </c>
      <c r="I1165" s="54">
        <f t="shared" si="52"/>
        <v>3256</v>
      </c>
      <c r="J1165" s="58" t="e">
        <f>+#REF!+#REF!+#REF!+#REF!+1</f>
        <v>#REF!</v>
      </c>
      <c r="K1165" s="8">
        <v>45076</v>
      </c>
    </row>
    <row r="1166" spans="1:11" s="1" customFormat="1" ht="75" x14ac:dyDescent="0.2">
      <c r="A1166" s="7">
        <v>68</v>
      </c>
      <c r="B1166" s="38">
        <v>45044</v>
      </c>
      <c r="C1166" s="9" t="s">
        <v>1378</v>
      </c>
      <c r="D1166" s="9" t="s">
        <v>598</v>
      </c>
      <c r="E1166" s="9" t="s">
        <v>1379</v>
      </c>
      <c r="F1166" s="9" t="s">
        <v>206</v>
      </c>
      <c r="G1166" s="54">
        <v>6502</v>
      </c>
      <c r="H1166" s="54">
        <f>585+585</f>
        <v>1170</v>
      </c>
      <c r="I1166" s="54">
        <f t="shared" si="52"/>
        <v>7672</v>
      </c>
      <c r="J1166" s="58" t="e">
        <f>+#REF!+#REF!+#REF!+#REF!</f>
        <v>#REF!</v>
      </c>
      <c r="K1166" s="58"/>
    </row>
    <row r="1167" spans="1:11" s="1" customFormat="1" ht="45" x14ac:dyDescent="0.2">
      <c r="A1167" s="7">
        <v>69</v>
      </c>
      <c r="B1167" s="38">
        <v>45044</v>
      </c>
      <c r="C1167" s="9" t="s">
        <v>1385</v>
      </c>
      <c r="D1167" s="9" t="s">
        <v>598</v>
      </c>
      <c r="E1167" s="9" t="s">
        <v>1386</v>
      </c>
      <c r="F1167" s="9" t="s">
        <v>441</v>
      </c>
      <c r="G1167" s="54">
        <v>4950</v>
      </c>
      <c r="H1167" s="54">
        <f>446+446</f>
        <v>892</v>
      </c>
      <c r="I1167" s="54">
        <f t="shared" si="52"/>
        <v>5842</v>
      </c>
      <c r="J1167" s="58" t="e">
        <f>+#REF!+#REF!+#REF!+#REF!-1</f>
        <v>#REF!</v>
      </c>
      <c r="K1167" s="8">
        <v>45076</v>
      </c>
    </row>
    <row r="1168" spans="1:11" s="1" customFormat="1" ht="45" x14ac:dyDescent="0.2">
      <c r="A1168" s="7">
        <v>70</v>
      </c>
      <c r="B1168" s="38">
        <v>45045</v>
      </c>
      <c r="C1168" s="9" t="s">
        <v>1387</v>
      </c>
      <c r="D1168" s="9" t="s">
        <v>598</v>
      </c>
      <c r="E1168" s="9" t="s">
        <v>2139</v>
      </c>
      <c r="F1168" s="9" t="s">
        <v>562</v>
      </c>
      <c r="G1168" s="54">
        <v>1810</v>
      </c>
      <c r="H1168" s="54">
        <f>163+163</f>
        <v>326</v>
      </c>
      <c r="I1168" s="54">
        <f t="shared" si="52"/>
        <v>2136</v>
      </c>
      <c r="J1168" s="58" t="e">
        <f>+#REF!+#REF!+#REF!+#REF!</f>
        <v>#REF!</v>
      </c>
      <c r="K1168" s="8">
        <v>45071</v>
      </c>
    </row>
    <row r="1169" spans="1:11" s="1" customFormat="1" ht="45" x14ac:dyDescent="0.2">
      <c r="A1169" s="7">
        <v>71</v>
      </c>
      <c r="B1169" s="38">
        <v>45045</v>
      </c>
      <c r="C1169" s="9" t="s">
        <v>1388</v>
      </c>
      <c r="D1169" s="9" t="s">
        <v>598</v>
      </c>
      <c r="E1169" s="9" t="s">
        <v>2140</v>
      </c>
      <c r="F1169" s="9" t="s">
        <v>441</v>
      </c>
      <c r="G1169" s="54">
        <v>14100</v>
      </c>
      <c r="H1169" s="54">
        <f>1269+1269</f>
        <v>2538</v>
      </c>
      <c r="I1169" s="54">
        <f t="shared" si="52"/>
        <v>16638</v>
      </c>
      <c r="J1169" s="58" t="e">
        <f>+#REF!+#REF!+#REF!+#REF!</f>
        <v>#REF!</v>
      </c>
      <c r="K1169" s="8">
        <v>45076</v>
      </c>
    </row>
    <row r="1170" spans="1:11" s="1" customFormat="1" ht="60" x14ac:dyDescent="0.2">
      <c r="A1170" s="7">
        <v>72</v>
      </c>
      <c r="B1170" s="38">
        <v>45045</v>
      </c>
      <c r="C1170" s="9" t="s">
        <v>1389</v>
      </c>
      <c r="D1170" s="9" t="s">
        <v>598</v>
      </c>
      <c r="E1170" s="9" t="s">
        <v>2141</v>
      </c>
      <c r="F1170" s="9" t="s">
        <v>441</v>
      </c>
      <c r="G1170" s="54">
        <v>19450</v>
      </c>
      <c r="H1170" s="54">
        <f>1751+1751</f>
        <v>3502</v>
      </c>
      <c r="I1170" s="54">
        <f t="shared" si="52"/>
        <v>22952</v>
      </c>
      <c r="J1170" s="58" t="e">
        <f>+#REF!+#REF!+#REF!+#REF!-1</f>
        <v>#REF!</v>
      </c>
      <c r="K1170" s="8">
        <v>45076</v>
      </c>
    </row>
    <row r="1171" spans="1:11" s="1" customFormat="1" ht="45" x14ac:dyDescent="0.2">
      <c r="A1171" s="7">
        <v>73</v>
      </c>
      <c r="B1171" s="38">
        <v>45046</v>
      </c>
      <c r="C1171" s="9" t="s">
        <v>1390</v>
      </c>
      <c r="D1171" s="9" t="s">
        <v>598</v>
      </c>
      <c r="E1171" s="9" t="s">
        <v>2142</v>
      </c>
      <c r="F1171" s="9" t="s">
        <v>441</v>
      </c>
      <c r="G1171" s="54">
        <v>20400</v>
      </c>
      <c r="H1171" s="54">
        <f>1836+1836</f>
        <v>3672</v>
      </c>
      <c r="I1171" s="54">
        <f t="shared" si="52"/>
        <v>24072</v>
      </c>
      <c r="J1171" s="58" t="e">
        <f>+#REF!+#REF!+#REF!+#REF!</f>
        <v>#REF!</v>
      </c>
      <c r="K1171" s="8">
        <v>45076</v>
      </c>
    </row>
    <row r="1172" spans="1:11" s="1" customFormat="1" ht="60" x14ac:dyDescent="0.2">
      <c r="A1172" s="7">
        <v>74</v>
      </c>
      <c r="B1172" s="38">
        <v>45046</v>
      </c>
      <c r="C1172" s="9" t="s">
        <v>1391</v>
      </c>
      <c r="D1172" s="9" t="s">
        <v>598</v>
      </c>
      <c r="E1172" s="9" t="s">
        <v>2143</v>
      </c>
      <c r="F1172" s="9" t="s">
        <v>441</v>
      </c>
      <c r="G1172" s="54">
        <v>9425</v>
      </c>
      <c r="H1172" s="54">
        <f>848+848</f>
        <v>1696</v>
      </c>
      <c r="I1172" s="54">
        <f t="shared" si="52"/>
        <v>11121</v>
      </c>
      <c r="J1172" s="58" t="e">
        <f>+#REF!+#REF!+#REF!+#REF!+1</f>
        <v>#REF!</v>
      </c>
      <c r="K1172" s="8">
        <v>45076</v>
      </c>
    </row>
    <row r="1173" spans="1:11" s="1" customFormat="1" ht="45" x14ac:dyDescent="0.2">
      <c r="A1173" s="7">
        <v>75</v>
      </c>
      <c r="B1173" s="38">
        <v>45046</v>
      </c>
      <c r="C1173" s="9" t="s">
        <v>1394</v>
      </c>
      <c r="D1173" s="9" t="s">
        <v>598</v>
      </c>
      <c r="E1173" s="9" t="s">
        <v>1395</v>
      </c>
      <c r="F1173" s="9" t="s">
        <v>665</v>
      </c>
      <c r="G1173" s="54">
        <v>3177.95</v>
      </c>
      <c r="H1173" s="54">
        <f>286+286</f>
        <v>572</v>
      </c>
      <c r="I1173" s="54">
        <f t="shared" si="52"/>
        <v>3749.95</v>
      </c>
      <c r="J1173" s="58" t="e">
        <f>+#REF!+#REF!+#REF!+#REF!+0.05</f>
        <v>#REF!</v>
      </c>
      <c r="K1173" s="8">
        <v>45071</v>
      </c>
    </row>
    <row r="1174" spans="1:11" s="1" customFormat="1" ht="120" x14ac:dyDescent="0.2">
      <c r="A1174" s="7">
        <v>76</v>
      </c>
      <c r="B1174" s="38">
        <v>45052</v>
      </c>
      <c r="C1174" s="9" t="s">
        <v>1449</v>
      </c>
      <c r="D1174" s="9" t="s">
        <v>598</v>
      </c>
      <c r="E1174" s="9" t="s">
        <v>1450</v>
      </c>
      <c r="F1174" s="9" t="s">
        <v>665</v>
      </c>
      <c r="G1174" s="54">
        <v>4438.17</v>
      </c>
      <c r="H1174" s="54">
        <f>399+399</f>
        <v>798</v>
      </c>
      <c r="I1174" s="54">
        <f t="shared" si="52"/>
        <v>5236.17</v>
      </c>
      <c r="J1174" s="58" t="e">
        <f>+#REF!+#REF!+#REF!+#REF!+0.83</f>
        <v>#REF!</v>
      </c>
      <c r="K1174" s="8">
        <v>45136</v>
      </c>
    </row>
    <row r="1175" spans="1:11" s="1" customFormat="1" ht="45" x14ac:dyDescent="0.2">
      <c r="A1175" s="7">
        <v>77</v>
      </c>
      <c r="B1175" s="38">
        <v>45048</v>
      </c>
      <c r="C1175" s="9" t="s">
        <v>476</v>
      </c>
      <c r="D1175" s="9" t="s">
        <v>598</v>
      </c>
      <c r="E1175" s="9" t="s">
        <v>1429</v>
      </c>
      <c r="F1175" s="9" t="s">
        <v>1430</v>
      </c>
      <c r="G1175" s="54">
        <v>3000</v>
      </c>
      <c r="H1175" s="54">
        <v>0</v>
      </c>
      <c r="I1175" s="54">
        <f t="shared" si="52"/>
        <v>3000</v>
      </c>
      <c r="J1175" s="58" t="e">
        <f>+#REF!+#REF!+#REF!+#REF!</f>
        <v>#REF!</v>
      </c>
      <c r="K1175" s="38">
        <v>45048</v>
      </c>
    </row>
    <row r="1176" spans="1:11" s="1" customFormat="1" ht="75" x14ac:dyDescent="0.2">
      <c r="A1176" s="7">
        <v>78</v>
      </c>
      <c r="B1176" s="38">
        <v>45048</v>
      </c>
      <c r="C1176" s="9" t="s">
        <v>1431</v>
      </c>
      <c r="D1176" s="9" t="s">
        <v>598</v>
      </c>
      <c r="E1176" s="9" t="s">
        <v>1432</v>
      </c>
      <c r="F1176" s="9" t="s">
        <v>43</v>
      </c>
      <c r="G1176" s="54">
        <v>8324.7199999999993</v>
      </c>
      <c r="H1176" s="54">
        <f>749+749</f>
        <v>1498</v>
      </c>
      <c r="I1176" s="54">
        <f t="shared" ref="I1176:I1189" si="53">+G1176+H1176</f>
        <v>9822.7199999999993</v>
      </c>
      <c r="J1176" s="58" t="e">
        <f>+#REF!+#REF!+#REF!+#REF!+0.28</f>
        <v>#REF!</v>
      </c>
      <c r="K1176" s="8">
        <v>45136</v>
      </c>
    </row>
    <row r="1177" spans="1:11" s="1" customFormat="1" ht="105" x14ac:dyDescent="0.2">
      <c r="A1177" s="7">
        <v>79</v>
      </c>
      <c r="B1177" s="38">
        <v>45049</v>
      </c>
      <c r="C1177" s="9" t="s">
        <v>1435</v>
      </c>
      <c r="D1177" s="9" t="s">
        <v>598</v>
      </c>
      <c r="E1177" s="9" t="s">
        <v>2144</v>
      </c>
      <c r="F1177" s="9" t="s">
        <v>206</v>
      </c>
      <c r="G1177" s="54">
        <v>6950</v>
      </c>
      <c r="H1177" s="54">
        <f>347+347+78+78</f>
        <v>850</v>
      </c>
      <c r="I1177" s="54">
        <f t="shared" si="53"/>
        <v>7800</v>
      </c>
      <c r="J1177" s="58" t="e">
        <f>+#REF!+#REF!+#REF!+#REF!-2</f>
        <v>#REF!</v>
      </c>
      <c r="K1177" s="58"/>
    </row>
    <row r="1178" spans="1:11" s="1" customFormat="1" ht="45" x14ac:dyDescent="0.2">
      <c r="A1178" s="7">
        <v>80</v>
      </c>
      <c r="B1178" s="38">
        <v>45049</v>
      </c>
      <c r="C1178" s="9" t="s">
        <v>1436</v>
      </c>
      <c r="D1178" s="9" t="s">
        <v>598</v>
      </c>
      <c r="E1178" s="9" t="s">
        <v>1437</v>
      </c>
      <c r="F1178" s="9" t="s">
        <v>441</v>
      </c>
      <c r="G1178" s="54">
        <v>14500</v>
      </c>
      <c r="H1178" s="54">
        <f>1305+1305</f>
        <v>2610</v>
      </c>
      <c r="I1178" s="54">
        <f t="shared" si="53"/>
        <v>17110</v>
      </c>
      <c r="J1178" s="58" t="e">
        <f>+#REF!+#REF!+#REF!+#REF!</f>
        <v>#REF!</v>
      </c>
      <c r="K1178" s="8">
        <v>45140</v>
      </c>
    </row>
    <row r="1179" spans="1:11" s="1" customFormat="1" ht="45" x14ac:dyDescent="0.2">
      <c r="A1179" s="7">
        <v>81</v>
      </c>
      <c r="B1179" s="38">
        <v>45049</v>
      </c>
      <c r="C1179" s="9" t="s">
        <v>1438</v>
      </c>
      <c r="D1179" s="9" t="s">
        <v>598</v>
      </c>
      <c r="E1179" s="9" t="s">
        <v>1439</v>
      </c>
      <c r="F1179" s="9" t="s">
        <v>43</v>
      </c>
      <c r="G1179" s="54">
        <v>6610.16</v>
      </c>
      <c r="H1179" s="54">
        <f>595+595</f>
        <v>1190</v>
      </c>
      <c r="I1179" s="54">
        <f t="shared" si="53"/>
        <v>7800.16</v>
      </c>
      <c r="J1179" s="58" t="e">
        <f>+#REF!+#REF!+#REF!+#REF!-0.16</f>
        <v>#REF!</v>
      </c>
      <c r="K1179" s="8">
        <v>45136</v>
      </c>
    </row>
    <row r="1180" spans="1:11" s="1" customFormat="1" ht="60" x14ac:dyDescent="0.2">
      <c r="A1180" s="7">
        <v>82</v>
      </c>
      <c r="B1180" s="38">
        <v>45049</v>
      </c>
      <c r="C1180" s="9" t="s">
        <v>1440</v>
      </c>
      <c r="D1180" s="9" t="s">
        <v>598</v>
      </c>
      <c r="E1180" s="9" t="s">
        <v>2145</v>
      </c>
      <c r="F1180" s="9" t="s">
        <v>441</v>
      </c>
      <c r="G1180" s="54">
        <v>8440</v>
      </c>
      <c r="H1180" s="54">
        <f>760+760</f>
        <v>1520</v>
      </c>
      <c r="I1180" s="54">
        <f t="shared" si="53"/>
        <v>9960</v>
      </c>
      <c r="J1180" s="58" t="e">
        <f>+#REF!+#REF!+#REF!+#REF!-1</f>
        <v>#REF!</v>
      </c>
      <c r="K1180" s="8">
        <v>45140</v>
      </c>
    </row>
    <row r="1181" spans="1:11" s="1" customFormat="1" ht="45" x14ac:dyDescent="0.2">
      <c r="A1181" s="7">
        <v>83</v>
      </c>
      <c r="B1181" s="38">
        <v>45050</v>
      </c>
      <c r="C1181" s="9" t="s">
        <v>476</v>
      </c>
      <c r="D1181" s="9" t="s">
        <v>598</v>
      </c>
      <c r="E1181" s="9" t="s">
        <v>1442</v>
      </c>
      <c r="F1181" s="9" t="s">
        <v>675</v>
      </c>
      <c r="G1181" s="54">
        <v>4500</v>
      </c>
      <c r="H1181" s="54">
        <v>0</v>
      </c>
      <c r="I1181" s="54">
        <f t="shared" si="53"/>
        <v>4500</v>
      </c>
      <c r="J1181" s="58" t="e">
        <f>+#REF!+#REF!+#REF!+#REF!</f>
        <v>#REF!</v>
      </c>
      <c r="K1181" s="38">
        <v>45050</v>
      </c>
    </row>
    <row r="1182" spans="1:11" s="1" customFormat="1" ht="45" x14ac:dyDescent="0.2">
      <c r="A1182" s="7">
        <v>84</v>
      </c>
      <c r="B1182" s="38">
        <v>45051</v>
      </c>
      <c r="C1182" s="9" t="s">
        <v>1592</v>
      </c>
      <c r="D1182" s="9" t="s">
        <v>598</v>
      </c>
      <c r="E1182" s="9" t="s">
        <v>561</v>
      </c>
      <c r="F1182" s="9" t="s">
        <v>562</v>
      </c>
      <c r="G1182" s="54">
        <v>2172</v>
      </c>
      <c r="H1182" s="54">
        <f>195+195</f>
        <v>390</v>
      </c>
      <c r="I1182" s="54">
        <f t="shared" si="53"/>
        <v>2562</v>
      </c>
      <c r="J1182" s="58" t="e">
        <f>+#REF!+#REF!+#REF!+#REF!+1</f>
        <v>#REF!</v>
      </c>
      <c r="K1182" s="8">
        <v>45136</v>
      </c>
    </row>
    <row r="1183" spans="1:11" s="1" customFormat="1" ht="120" x14ac:dyDescent="0.2">
      <c r="A1183" s="7">
        <v>85</v>
      </c>
      <c r="B1183" s="38">
        <v>45056</v>
      </c>
      <c r="C1183" s="9" t="s">
        <v>1488</v>
      </c>
      <c r="D1183" s="9" t="s">
        <v>598</v>
      </c>
      <c r="E1183" s="9" t="s">
        <v>1489</v>
      </c>
      <c r="F1183" s="9" t="s">
        <v>665</v>
      </c>
      <c r="G1183" s="54">
        <v>9100.92</v>
      </c>
      <c r="H1183" s="54">
        <f>742+742+120+120</f>
        <v>1724</v>
      </c>
      <c r="I1183" s="54">
        <f t="shared" si="53"/>
        <v>10824.92</v>
      </c>
      <c r="J1183" s="58" t="e">
        <f>+#REF!+#REF!+#REF!+#REF!+0.08</f>
        <v>#REF!</v>
      </c>
      <c r="K1183" s="8">
        <v>45136</v>
      </c>
    </row>
    <row r="1184" spans="1:11" s="1" customFormat="1" ht="45" x14ac:dyDescent="0.2">
      <c r="A1184" s="7">
        <v>86</v>
      </c>
      <c r="B1184" s="38">
        <v>45052</v>
      </c>
      <c r="C1184" s="9" t="s">
        <v>1451</v>
      </c>
      <c r="D1184" s="9" t="s">
        <v>598</v>
      </c>
      <c r="E1184" s="9" t="s">
        <v>1452</v>
      </c>
      <c r="F1184" s="9" t="s">
        <v>441</v>
      </c>
      <c r="G1184" s="54">
        <v>3640</v>
      </c>
      <c r="H1184" s="54">
        <f>328+328</f>
        <v>656</v>
      </c>
      <c r="I1184" s="54">
        <f t="shared" si="53"/>
        <v>4296</v>
      </c>
      <c r="J1184" s="58" t="e">
        <f>+#REF!+#REF!+#REF!+#REF!-1</f>
        <v>#REF!</v>
      </c>
      <c r="K1184" s="8">
        <v>45140</v>
      </c>
    </row>
    <row r="1185" spans="1:11" s="1" customFormat="1" ht="45" x14ac:dyDescent="0.2">
      <c r="A1185" s="7">
        <v>87</v>
      </c>
      <c r="B1185" s="38">
        <v>45052</v>
      </c>
      <c r="C1185" s="9" t="s">
        <v>1536</v>
      </c>
      <c r="D1185" s="9" t="s">
        <v>598</v>
      </c>
      <c r="E1185" s="9" t="s">
        <v>1537</v>
      </c>
      <c r="F1185" s="9" t="s">
        <v>43</v>
      </c>
      <c r="G1185" s="54">
        <v>4745.76</v>
      </c>
      <c r="H1185" s="54">
        <f>427+427</f>
        <v>854</v>
      </c>
      <c r="I1185" s="54">
        <f t="shared" si="53"/>
        <v>5599.76</v>
      </c>
      <c r="J1185" s="58" t="e">
        <f>+#REF!+#REF!+#REF!+#REF!+0.24</f>
        <v>#REF!</v>
      </c>
      <c r="K1185" s="8">
        <v>45136</v>
      </c>
    </row>
    <row r="1186" spans="1:11" s="1" customFormat="1" ht="45" x14ac:dyDescent="0.2">
      <c r="A1186" s="7">
        <v>88</v>
      </c>
      <c r="B1186" s="38">
        <v>45054</v>
      </c>
      <c r="C1186" s="9" t="s">
        <v>476</v>
      </c>
      <c r="D1186" s="9" t="s">
        <v>598</v>
      </c>
      <c r="E1186" s="9" t="s">
        <v>1453</v>
      </c>
      <c r="F1186" s="9" t="s">
        <v>1454</v>
      </c>
      <c r="G1186" s="54">
        <v>8000</v>
      </c>
      <c r="H1186" s="54">
        <v>0</v>
      </c>
      <c r="I1186" s="54">
        <f t="shared" si="53"/>
        <v>8000</v>
      </c>
      <c r="J1186" s="58" t="e">
        <f>+#REF!+#REF!+#REF!+#REF!</f>
        <v>#REF!</v>
      </c>
      <c r="K1186" s="38">
        <v>45054</v>
      </c>
    </row>
    <row r="1187" spans="1:11" s="1" customFormat="1" ht="105" x14ac:dyDescent="0.2">
      <c r="A1187" s="7">
        <v>89</v>
      </c>
      <c r="B1187" s="38">
        <v>45056</v>
      </c>
      <c r="C1187" s="9" t="s">
        <v>1456</v>
      </c>
      <c r="D1187" s="9" t="s">
        <v>598</v>
      </c>
      <c r="E1187" s="9" t="s">
        <v>2146</v>
      </c>
      <c r="F1187" s="9" t="s">
        <v>206</v>
      </c>
      <c r="G1187" s="54">
        <v>12367.75</v>
      </c>
      <c r="H1187" s="54">
        <f>1113+1113</f>
        <v>2226</v>
      </c>
      <c r="I1187" s="54">
        <f t="shared" si="53"/>
        <v>14593.75</v>
      </c>
      <c r="J1187" s="58" t="e">
        <f>+#REF!+#REF!+#REF!+#REF!+0.25</f>
        <v>#REF!</v>
      </c>
      <c r="K1187" s="58"/>
    </row>
    <row r="1188" spans="1:11" s="1" customFormat="1" ht="45" x14ac:dyDescent="0.2">
      <c r="A1188" s="7">
        <v>90</v>
      </c>
      <c r="B1188" s="38">
        <v>45056</v>
      </c>
      <c r="C1188" s="9" t="s">
        <v>1457</v>
      </c>
      <c r="D1188" s="9" t="s">
        <v>598</v>
      </c>
      <c r="E1188" s="9" t="s">
        <v>1458</v>
      </c>
      <c r="F1188" s="9" t="s">
        <v>447</v>
      </c>
      <c r="G1188" s="54">
        <v>2784</v>
      </c>
      <c r="H1188" s="54">
        <f>251+251</f>
        <v>502</v>
      </c>
      <c r="I1188" s="54">
        <f t="shared" si="53"/>
        <v>3286</v>
      </c>
      <c r="J1188" s="58" t="e">
        <f>+#REF!+#REF!+#REF!+#REF!-1</f>
        <v>#REF!</v>
      </c>
      <c r="K1188" s="8">
        <v>45136</v>
      </c>
    </row>
    <row r="1189" spans="1:11" s="1" customFormat="1" ht="45" x14ac:dyDescent="0.2">
      <c r="A1189" s="7">
        <v>91</v>
      </c>
      <c r="B1189" s="38">
        <v>45056</v>
      </c>
      <c r="C1189" s="9" t="s">
        <v>1459</v>
      </c>
      <c r="D1189" s="9" t="s">
        <v>598</v>
      </c>
      <c r="E1189" s="9" t="s">
        <v>1460</v>
      </c>
      <c r="F1189" s="9" t="s">
        <v>116</v>
      </c>
      <c r="G1189" s="54">
        <v>6767.82</v>
      </c>
      <c r="H1189" s="54">
        <f>609+609</f>
        <v>1218</v>
      </c>
      <c r="I1189" s="54">
        <f t="shared" si="53"/>
        <v>7985.82</v>
      </c>
      <c r="J1189" s="58" t="e">
        <f>+#REF!+#REF!+#REF!+#REF!+0.18</f>
        <v>#REF!</v>
      </c>
      <c r="K1189" s="8">
        <v>45136</v>
      </c>
    </row>
    <row r="1190" spans="1:11" s="1" customFormat="1" ht="45" x14ac:dyDescent="0.2">
      <c r="A1190" s="7">
        <v>92</v>
      </c>
      <c r="B1190" s="38">
        <v>45057</v>
      </c>
      <c r="C1190" s="9" t="s">
        <v>1461</v>
      </c>
      <c r="D1190" s="9" t="s">
        <v>598</v>
      </c>
      <c r="E1190" s="9" t="s">
        <v>1462</v>
      </c>
      <c r="F1190" s="9" t="s">
        <v>211</v>
      </c>
      <c r="G1190" s="54">
        <v>3456</v>
      </c>
      <c r="H1190" s="54">
        <f>311+311</f>
        <v>622</v>
      </c>
      <c r="I1190" s="54">
        <f t="shared" ref="I1190:I1209" si="54">+G1190+H1190</f>
        <v>4078</v>
      </c>
      <c r="J1190" s="58" t="e">
        <f>+#REF!+#REF!+#REF!+#REF!</f>
        <v>#REF!</v>
      </c>
      <c r="K1190" s="8">
        <v>45136</v>
      </c>
    </row>
    <row r="1191" spans="1:11" s="1" customFormat="1" ht="45" x14ac:dyDescent="0.2">
      <c r="A1191" s="7">
        <v>93</v>
      </c>
      <c r="B1191" s="38">
        <v>45057</v>
      </c>
      <c r="C1191" s="9" t="s">
        <v>476</v>
      </c>
      <c r="D1191" s="9" t="s">
        <v>598</v>
      </c>
      <c r="E1191" s="9" t="s">
        <v>1525</v>
      </c>
      <c r="F1191" s="9" t="s">
        <v>1526</v>
      </c>
      <c r="G1191" s="54">
        <v>3200</v>
      </c>
      <c r="H1191" s="54">
        <v>0</v>
      </c>
      <c r="I1191" s="54">
        <f t="shared" si="54"/>
        <v>3200</v>
      </c>
      <c r="J1191" s="58" t="e">
        <f>+#REF!+#REF!+#REF!+#REF!</f>
        <v>#REF!</v>
      </c>
      <c r="K1191" s="38">
        <v>45057</v>
      </c>
    </row>
    <row r="1192" spans="1:11" s="1" customFormat="1" ht="45" x14ac:dyDescent="0.2">
      <c r="A1192" s="7">
        <v>94</v>
      </c>
      <c r="B1192" s="38">
        <v>45057</v>
      </c>
      <c r="C1192" s="9" t="s">
        <v>1593</v>
      </c>
      <c r="D1192" s="9" t="s">
        <v>598</v>
      </c>
      <c r="E1192" s="9" t="s">
        <v>2147</v>
      </c>
      <c r="F1192" s="9" t="s">
        <v>562</v>
      </c>
      <c r="G1192" s="54">
        <v>1086</v>
      </c>
      <c r="H1192" s="54">
        <f>98+98</f>
        <v>196</v>
      </c>
      <c r="I1192" s="54">
        <f t="shared" si="54"/>
        <v>1282</v>
      </c>
      <c r="J1192" s="58" t="e">
        <f>+#REF!+#REF!+#REF!+#REF!-1</f>
        <v>#REF!</v>
      </c>
      <c r="K1192" s="8">
        <v>45136</v>
      </c>
    </row>
    <row r="1193" spans="1:11" s="1" customFormat="1" ht="45" x14ac:dyDescent="0.2">
      <c r="A1193" s="7">
        <v>95</v>
      </c>
      <c r="B1193" s="38">
        <v>45058</v>
      </c>
      <c r="C1193" s="9" t="s">
        <v>476</v>
      </c>
      <c r="D1193" s="9" t="s">
        <v>598</v>
      </c>
      <c r="E1193" s="9" t="s">
        <v>1527</v>
      </c>
      <c r="F1193" s="9" t="s">
        <v>1528</v>
      </c>
      <c r="G1193" s="54">
        <v>2000</v>
      </c>
      <c r="H1193" s="54">
        <v>0</v>
      </c>
      <c r="I1193" s="54">
        <f t="shared" si="54"/>
        <v>2000</v>
      </c>
      <c r="J1193" s="58" t="e">
        <f>+#REF!+#REF!+#REF!+#REF!</f>
        <v>#REF!</v>
      </c>
      <c r="K1193" s="38">
        <v>45058</v>
      </c>
    </row>
    <row r="1194" spans="1:11" s="1" customFormat="1" ht="150" x14ac:dyDescent="0.2">
      <c r="A1194" s="7">
        <v>96</v>
      </c>
      <c r="B1194" s="38">
        <v>45059</v>
      </c>
      <c r="C1194" s="9" t="s">
        <v>1493</v>
      </c>
      <c r="D1194" s="9" t="s">
        <v>598</v>
      </c>
      <c r="E1194" s="9" t="s">
        <v>2148</v>
      </c>
      <c r="F1194" s="9" t="s">
        <v>441</v>
      </c>
      <c r="G1194" s="54">
        <v>7940</v>
      </c>
      <c r="H1194" s="54">
        <f>715+715</f>
        <v>1430</v>
      </c>
      <c r="I1194" s="54">
        <f t="shared" si="54"/>
        <v>9370</v>
      </c>
      <c r="J1194" s="58" t="e">
        <f>+#REF!+#REF!+#REF!+#REF!-1</f>
        <v>#REF!</v>
      </c>
      <c r="K1194" s="8">
        <v>45140</v>
      </c>
    </row>
    <row r="1195" spans="1:11" s="1" customFormat="1" ht="75" x14ac:dyDescent="0.2">
      <c r="A1195" s="7">
        <v>97</v>
      </c>
      <c r="B1195" s="38">
        <v>45062</v>
      </c>
      <c r="C1195" s="9" t="s">
        <v>1550</v>
      </c>
      <c r="D1195" s="9" t="s">
        <v>598</v>
      </c>
      <c r="E1195" s="9" t="s">
        <v>2149</v>
      </c>
      <c r="F1195" s="9" t="s">
        <v>206</v>
      </c>
      <c r="G1195" s="54">
        <v>14850</v>
      </c>
      <c r="H1195" s="54">
        <f>1337+1337</f>
        <v>2674</v>
      </c>
      <c r="I1195" s="54">
        <f t="shared" si="54"/>
        <v>17524</v>
      </c>
      <c r="J1195" s="58" t="e">
        <f>+#REF!+#REF!+#REF!+#REF!-1</f>
        <v>#REF!</v>
      </c>
      <c r="K1195" s="58"/>
    </row>
    <row r="1196" spans="1:11" s="1" customFormat="1" ht="45" x14ac:dyDescent="0.2">
      <c r="A1196" s="7">
        <v>98</v>
      </c>
      <c r="B1196" s="38">
        <v>45063</v>
      </c>
      <c r="C1196" s="9">
        <v>113</v>
      </c>
      <c r="D1196" s="9" t="s">
        <v>598</v>
      </c>
      <c r="E1196" s="9" t="s">
        <v>1556</v>
      </c>
      <c r="F1196" s="9" t="s">
        <v>736</v>
      </c>
      <c r="G1196" s="54">
        <v>69405</v>
      </c>
      <c r="H1196" s="54">
        <f>6246+6246</f>
        <v>12492</v>
      </c>
      <c r="I1196" s="54">
        <f t="shared" si="54"/>
        <v>81897</v>
      </c>
      <c r="J1196" s="58" t="e">
        <f>+#REF!+#REF!+#REF!+#REF!+1</f>
        <v>#REF!</v>
      </c>
      <c r="K1196" s="8">
        <v>45065</v>
      </c>
    </row>
    <row r="1197" spans="1:11" s="1" customFormat="1" ht="75" x14ac:dyDescent="0.2">
      <c r="A1197" s="7">
        <v>99</v>
      </c>
      <c r="B1197" s="38">
        <v>45065</v>
      </c>
      <c r="C1197" s="9" t="s">
        <v>476</v>
      </c>
      <c r="D1197" s="9" t="s">
        <v>598</v>
      </c>
      <c r="E1197" s="9" t="s">
        <v>1570</v>
      </c>
      <c r="F1197" s="9" t="s">
        <v>1571</v>
      </c>
      <c r="G1197" s="54">
        <v>4500</v>
      </c>
      <c r="H1197" s="54">
        <v>0</v>
      </c>
      <c r="I1197" s="54">
        <f t="shared" si="54"/>
        <v>4500</v>
      </c>
      <c r="J1197" s="58" t="e">
        <f>+#REF!+#REF!+#REF!+#REF!</f>
        <v>#REF!</v>
      </c>
      <c r="K1197" s="8">
        <v>45065</v>
      </c>
    </row>
    <row r="1198" spans="1:11" s="1" customFormat="1" ht="45" x14ac:dyDescent="0.2">
      <c r="A1198" s="7">
        <v>100</v>
      </c>
      <c r="B1198" s="38">
        <v>45066</v>
      </c>
      <c r="C1198" s="9" t="s">
        <v>476</v>
      </c>
      <c r="D1198" s="9" t="s">
        <v>598</v>
      </c>
      <c r="E1198" s="9" t="s">
        <v>1572</v>
      </c>
      <c r="F1198" s="9" t="s">
        <v>1561</v>
      </c>
      <c r="G1198" s="54">
        <v>3000</v>
      </c>
      <c r="H1198" s="54">
        <v>0</v>
      </c>
      <c r="I1198" s="54">
        <f t="shared" si="54"/>
        <v>3000</v>
      </c>
      <c r="J1198" s="58" t="e">
        <f>+#REF!+#REF!+#REF!+#REF!</f>
        <v>#REF!</v>
      </c>
      <c r="K1198" s="8">
        <v>45066</v>
      </c>
    </row>
    <row r="1199" spans="1:11" s="1" customFormat="1" ht="45" x14ac:dyDescent="0.2">
      <c r="A1199" s="7">
        <v>101</v>
      </c>
      <c r="B1199" s="38">
        <v>45066</v>
      </c>
      <c r="C1199" s="9" t="s">
        <v>1594</v>
      </c>
      <c r="D1199" s="9" t="s">
        <v>598</v>
      </c>
      <c r="E1199" s="9" t="s">
        <v>2139</v>
      </c>
      <c r="F1199" s="9" t="s">
        <v>562</v>
      </c>
      <c r="G1199" s="54">
        <v>2172</v>
      </c>
      <c r="H1199" s="54">
        <f>195+195</f>
        <v>390</v>
      </c>
      <c r="I1199" s="54">
        <f t="shared" si="54"/>
        <v>2562</v>
      </c>
      <c r="J1199" s="58" t="e">
        <f>+#REF!+#REF!+#REF!+#REF!+1</f>
        <v>#REF!</v>
      </c>
      <c r="K1199" s="8">
        <v>45136</v>
      </c>
    </row>
    <row r="1200" spans="1:11" s="1" customFormat="1" ht="60" x14ac:dyDescent="0.2">
      <c r="A1200" s="7">
        <v>102</v>
      </c>
      <c r="B1200" s="38">
        <v>45067</v>
      </c>
      <c r="C1200" s="9" t="s">
        <v>476</v>
      </c>
      <c r="D1200" s="9" t="s">
        <v>598</v>
      </c>
      <c r="E1200" s="9" t="s">
        <v>1573</v>
      </c>
      <c r="F1200" s="9" t="s">
        <v>762</v>
      </c>
      <c r="G1200" s="54">
        <v>2000</v>
      </c>
      <c r="H1200" s="54">
        <v>0</v>
      </c>
      <c r="I1200" s="54">
        <f t="shared" si="54"/>
        <v>2000</v>
      </c>
      <c r="J1200" s="58" t="e">
        <f>+#REF!+#REF!+#REF!+#REF!</f>
        <v>#REF!</v>
      </c>
      <c r="K1200" s="8">
        <v>45067</v>
      </c>
    </row>
    <row r="1201" spans="1:11" s="1" customFormat="1" ht="60" x14ac:dyDescent="0.2">
      <c r="A1201" s="7">
        <v>103</v>
      </c>
      <c r="B1201" s="38">
        <v>45069</v>
      </c>
      <c r="C1201" s="9" t="s">
        <v>476</v>
      </c>
      <c r="D1201" s="9" t="s">
        <v>598</v>
      </c>
      <c r="E1201" s="9" t="s">
        <v>1574</v>
      </c>
      <c r="F1201" s="9" t="s">
        <v>1575</v>
      </c>
      <c r="G1201" s="54">
        <v>360</v>
      </c>
      <c r="H1201" s="54">
        <v>0</v>
      </c>
      <c r="I1201" s="54">
        <f t="shared" si="54"/>
        <v>360</v>
      </c>
      <c r="J1201" s="58" t="e">
        <f>+#REF!+#REF!+#REF!+#REF!</f>
        <v>#REF!</v>
      </c>
      <c r="K1201" s="8">
        <v>45069</v>
      </c>
    </row>
    <row r="1202" spans="1:11" s="1" customFormat="1" ht="45" x14ac:dyDescent="0.2">
      <c r="A1202" s="7">
        <v>104</v>
      </c>
      <c r="B1202" s="38">
        <v>45069</v>
      </c>
      <c r="C1202" s="9" t="s">
        <v>1581</v>
      </c>
      <c r="D1202" s="9" t="s">
        <v>598</v>
      </c>
      <c r="E1202" s="9" t="s">
        <v>1582</v>
      </c>
      <c r="F1202" s="9" t="s">
        <v>1583</v>
      </c>
      <c r="G1202" s="54">
        <v>44343</v>
      </c>
      <c r="H1202" s="54">
        <f>3991+3991</f>
        <v>7982</v>
      </c>
      <c r="I1202" s="54">
        <f t="shared" si="54"/>
        <v>52325</v>
      </c>
      <c r="J1202" s="58" t="e">
        <f>+#REF!+#REF!+#REF!+#REF!</f>
        <v>#REF!</v>
      </c>
      <c r="K1202" s="8">
        <v>45165</v>
      </c>
    </row>
    <row r="1203" spans="1:11" s="1" customFormat="1" ht="120" x14ac:dyDescent="0.2">
      <c r="A1203" s="7">
        <v>105</v>
      </c>
      <c r="B1203" s="38">
        <v>45070</v>
      </c>
      <c r="C1203" s="9" t="s">
        <v>1584</v>
      </c>
      <c r="D1203" s="9" t="s">
        <v>598</v>
      </c>
      <c r="E1203" s="9" t="s">
        <v>1585</v>
      </c>
      <c r="F1203" s="9" t="s">
        <v>1586</v>
      </c>
      <c r="G1203" s="54">
        <v>107200</v>
      </c>
      <c r="H1203" s="54">
        <v>0</v>
      </c>
      <c r="I1203" s="54">
        <f t="shared" si="54"/>
        <v>107200</v>
      </c>
      <c r="J1203" s="58" t="e">
        <f>+#REF!+#REF!+#REF!+#REF!</f>
        <v>#REF!</v>
      </c>
      <c r="K1203" s="8" t="s">
        <v>1957</v>
      </c>
    </row>
    <row r="1204" spans="1:11" s="1" customFormat="1" ht="45" x14ac:dyDescent="0.2">
      <c r="A1204" s="7">
        <v>106</v>
      </c>
      <c r="B1204" s="38">
        <v>45070</v>
      </c>
      <c r="C1204" s="9" t="s">
        <v>1587</v>
      </c>
      <c r="D1204" s="9" t="s">
        <v>598</v>
      </c>
      <c r="E1204" s="9" t="s">
        <v>1588</v>
      </c>
      <c r="F1204" s="9" t="s">
        <v>211</v>
      </c>
      <c r="G1204" s="54">
        <v>2308.5</v>
      </c>
      <c r="H1204" s="54">
        <f>208+208</f>
        <v>416</v>
      </c>
      <c r="I1204" s="54">
        <f t="shared" si="54"/>
        <v>2724.5</v>
      </c>
      <c r="J1204" s="58" t="e">
        <f>+#REF!+#REF!+#REF!+#REF!-0.5</f>
        <v>#REF!</v>
      </c>
      <c r="K1204" s="8">
        <v>45136</v>
      </c>
    </row>
    <row r="1205" spans="1:11" s="1" customFormat="1" ht="45" x14ac:dyDescent="0.2">
      <c r="A1205" s="7">
        <v>107</v>
      </c>
      <c r="B1205" s="38">
        <v>45071</v>
      </c>
      <c r="C1205" s="9" t="s">
        <v>476</v>
      </c>
      <c r="D1205" s="9" t="s">
        <v>598</v>
      </c>
      <c r="E1205" s="9" t="s">
        <v>1589</v>
      </c>
      <c r="F1205" s="9" t="s">
        <v>1590</v>
      </c>
      <c r="G1205" s="54">
        <v>10000</v>
      </c>
      <c r="H1205" s="54">
        <v>0</v>
      </c>
      <c r="I1205" s="54">
        <f t="shared" si="54"/>
        <v>10000</v>
      </c>
      <c r="J1205" s="58" t="e">
        <f>+#REF!+#REF!+#REF!+#REF!</f>
        <v>#REF!</v>
      </c>
      <c r="K1205" s="8">
        <v>45071</v>
      </c>
    </row>
    <row r="1206" spans="1:11" s="1" customFormat="1" ht="60" x14ac:dyDescent="0.2">
      <c r="A1206" s="7">
        <v>108</v>
      </c>
      <c r="B1206" s="38">
        <v>45071</v>
      </c>
      <c r="C1206" s="9" t="s">
        <v>1591</v>
      </c>
      <c r="D1206" s="9" t="s">
        <v>598</v>
      </c>
      <c r="E1206" s="9" t="s">
        <v>2150</v>
      </c>
      <c r="F1206" s="9" t="s">
        <v>441</v>
      </c>
      <c r="G1206" s="54">
        <v>4121</v>
      </c>
      <c r="H1206" s="54">
        <f>371+371</f>
        <v>742</v>
      </c>
      <c r="I1206" s="54">
        <f t="shared" si="54"/>
        <v>4863</v>
      </c>
      <c r="J1206" s="58" t="e">
        <f>+#REF!+#REF!+#REF!+#REF!</f>
        <v>#REF!</v>
      </c>
      <c r="K1206" s="8">
        <v>45140</v>
      </c>
    </row>
    <row r="1207" spans="1:11" s="1" customFormat="1" ht="45" x14ac:dyDescent="0.2">
      <c r="A1207" s="7">
        <v>109</v>
      </c>
      <c r="B1207" s="38">
        <v>45077</v>
      </c>
      <c r="C1207" s="9" t="s">
        <v>1655</v>
      </c>
      <c r="D1207" s="9" t="s">
        <v>598</v>
      </c>
      <c r="E1207" s="9" t="s">
        <v>1656</v>
      </c>
      <c r="F1207" s="9" t="s">
        <v>46</v>
      </c>
      <c r="G1207" s="54">
        <v>55000</v>
      </c>
      <c r="H1207" s="54">
        <f>4950+4950</f>
        <v>9900</v>
      </c>
      <c r="I1207" s="54">
        <f t="shared" si="54"/>
        <v>64900</v>
      </c>
      <c r="J1207" s="58" t="e">
        <f>+#REF!+#REF!+#REF!+#REF!</f>
        <v>#REF!</v>
      </c>
      <c r="K1207" s="8">
        <v>45059</v>
      </c>
    </row>
    <row r="1208" spans="1:11" s="1" customFormat="1" ht="45" x14ac:dyDescent="0.2">
      <c r="A1208" s="7">
        <v>110</v>
      </c>
      <c r="B1208" s="38">
        <v>45084</v>
      </c>
      <c r="C1208" s="9" t="s">
        <v>476</v>
      </c>
      <c r="D1208" s="9" t="s">
        <v>598</v>
      </c>
      <c r="E1208" s="9" t="s">
        <v>1669</v>
      </c>
      <c r="F1208" s="9" t="s">
        <v>1668</v>
      </c>
      <c r="G1208" s="54">
        <v>5000</v>
      </c>
      <c r="H1208" s="54">
        <v>0</v>
      </c>
      <c r="I1208" s="54">
        <f t="shared" si="54"/>
        <v>5000</v>
      </c>
      <c r="J1208" s="58" t="e">
        <f>+#REF!+#REF!+#REF!+#REF!</f>
        <v>#REF!</v>
      </c>
      <c r="K1208" s="8">
        <v>45084</v>
      </c>
    </row>
    <row r="1209" spans="1:11" s="1" customFormat="1" ht="120" x14ac:dyDescent="0.2">
      <c r="A1209" s="7">
        <v>111</v>
      </c>
      <c r="B1209" s="38">
        <v>45086</v>
      </c>
      <c r="C1209" s="9" t="s">
        <v>1670</v>
      </c>
      <c r="D1209" s="9" t="s">
        <v>598</v>
      </c>
      <c r="E1209" s="9" t="s">
        <v>1671</v>
      </c>
      <c r="F1209" s="9" t="s">
        <v>1586</v>
      </c>
      <c r="G1209" s="54">
        <v>52000</v>
      </c>
      <c r="H1209" s="54">
        <v>0</v>
      </c>
      <c r="I1209" s="54">
        <f t="shared" si="54"/>
        <v>52000</v>
      </c>
      <c r="J1209" s="58" t="e">
        <f>+#REF!+#REF!+#REF!+#REF!</f>
        <v>#REF!</v>
      </c>
      <c r="K1209" s="58" t="s">
        <v>1958</v>
      </c>
    </row>
    <row r="1210" spans="1:11" s="1" customFormat="1" ht="45" x14ac:dyDescent="0.2">
      <c r="A1210" s="7">
        <v>112</v>
      </c>
      <c r="B1210" s="38">
        <v>45091</v>
      </c>
      <c r="C1210" s="9" t="s">
        <v>1696</v>
      </c>
      <c r="D1210" s="9" t="s">
        <v>598</v>
      </c>
      <c r="E1210" s="9" t="s">
        <v>1697</v>
      </c>
      <c r="F1210" s="9" t="s">
        <v>1698</v>
      </c>
      <c r="G1210" s="54">
        <f>54992.5+9898</f>
        <v>64890.5</v>
      </c>
      <c r="H1210" s="54">
        <v>0</v>
      </c>
      <c r="I1210" s="54">
        <f>+G1210+H1210</f>
        <v>64890.5</v>
      </c>
      <c r="J1210" s="58" t="e">
        <f>+#REF!+#REF!+#REF!+#REF!+0.5</f>
        <v>#REF!</v>
      </c>
      <c r="K1210" s="8">
        <v>45091</v>
      </c>
    </row>
    <row r="1211" spans="1:11" s="28" customFormat="1" ht="15.75" x14ac:dyDescent="0.25">
      <c r="A1211" s="25"/>
      <c r="B1211" s="60"/>
      <c r="C1211" s="27"/>
      <c r="D1211" s="27"/>
      <c r="E1211" s="27"/>
      <c r="F1211" s="27"/>
      <c r="G1211" s="61">
        <f t="shared" ref="G1211:I1211" si="55">SUM(G1098:G1210)</f>
        <v>4919327.28</v>
      </c>
      <c r="H1211" s="61">
        <f t="shared" si="55"/>
        <v>826834</v>
      </c>
      <c r="I1211" s="61">
        <f t="shared" si="55"/>
        <v>5746161.2800000003</v>
      </c>
      <c r="J1211" s="62"/>
      <c r="K1211" s="60"/>
    </row>
    <row r="1212" spans="1:11" s="1" customFormat="1" ht="15.75" x14ac:dyDescent="0.2">
      <c r="A1212" s="7"/>
      <c r="B1212" s="38"/>
      <c r="C1212" s="9"/>
      <c r="D1212" s="9"/>
      <c r="E1212" s="47" t="s">
        <v>2151</v>
      </c>
      <c r="F1212" s="9"/>
      <c r="G1212" s="54"/>
      <c r="H1212" s="54"/>
      <c r="I1212" s="54"/>
      <c r="J1212" s="58"/>
      <c r="K1212" s="38"/>
    </row>
    <row r="1213" spans="1:11" s="1" customFormat="1" ht="45" x14ac:dyDescent="0.2">
      <c r="A1213" s="7">
        <v>1</v>
      </c>
      <c r="B1213" s="38">
        <v>44454</v>
      </c>
      <c r="C1213" s="9" t="s">
        <v>1233</v>
      </c>
      <c r="D1213" s="9" t="s">
        <v>598</v>
      </c>
      <c r="E1213" s="9" t="s">
        <v>1234</v>
      </c>
      <c r="F1213" s="9" t="s">
        <v>732</v>
      </c>
      <c r="G1213" s="54">
        <v>157604</v>
      </c>
      <c r="H1213" s="54">
        <f>14184+14184</f>
        <v>28368</v>
      </c>
      <c r="I1213" s="54">
        <f t="shared" si="48"/>
        <v>185972</v>
      </c>
      <c r="J1213" s="58" t="e">
        <f>+#REF!+#REF!+#REF!+#REF!+1</f>
        <v>#REF!</v>
      </c>
      <c r="K1213" s="38">
        <v>44466</v>
      </c>
    </row>
    <row r="1214" spans="1:11" s="1" customFormat="1" ht="45" x14ac:dyDescent="0.2">
      <c r="A1214" s="7">
        <v>2</v>
      </c>
      <c r="B1214" s="38">
        <v>44455</v>
      </c>
      <c r="C1214" s="9" t="s">
        <v>1235</v>
      </c>
      <c r="D1214" s="9" t="s">
        <v>598</v>
      </c>
      <c r="E1214" s="9" t="s">
        <v>1236</v>
      </c>
      <c r="F1214" s="9" t="s">
        <v>43</v>
      </c>
      <c r="G1214" s="54">
        <v>5338.99</v>
      </c>
      <c r="H1214" s="54">
        <f>481+481</f>
        <v>962</v>
      </c>
      <c r="I1214" s="54">
        <f t="shared" si="48"/>
        <v>6300.99</v>
      </c>
      <c r="J1214" s="58" t="e">
        <f>+#REF!+#REF!+#REF!+#REF!-0.99</f>
        <v>#REF!</v>
      </c>
      <c r="K1214" s="38">
        <v>44491</v>
      </c>
    </row>
    <row r="1215" spans="1:11" s="1" customFormat="1" ht="45" x14ac:dyDescent="0.2">
      <c r="A1215" s="7">
        <v>3</v>
      </c>
      <c r="B1215" s="38">
        <v>44456</v>
      </c>
      <c r="C1215" s="9" t="s">
        <v>1237</v>
      </c>
      <c r="D1215" s="9" t="s">
        <v>598</v>
      </c>
      <c r="E1215" s="9" t="s">
        <v>1238</v>
      </c>
      <c r="F1215" s="9" t="s">
        <v>1136</v>
      </c>
      <c r="G1215" s="54">
        <v>108171.82</v>
      </c>
      <c r="H1215" s="54">
        <f>9735+9735</f>
        <v>19470</v>
      </c>
      <c r="I1215" s="54">
        <f t="shared" si="48"/>
        <v>127641.82</v>
      </c>
      <c r="J1215" s="58" t="e">
        <f>+#REF!+#REF!+#REF!+#REF!+1.18</f>
        <v>#REF!</v>
      </c>
      <c r="K1215" s="38">
        <v>44495</v>
      </c>
    </row>
    <row r="1216" spans="1:11" s="1" customFormat="1" ht="45" x14ac:dyDescent="0.2">
      <c r="A1216" s="7">
        <v>4</v>
      </c>
      <c r="B1216" s="38">
        <v>44566</v>
      </c>
      <c r="C1216" s="9" t="s">
        <v>1247</v>
      </c>
      <c r="D1216" s="9" t="s">
        <v>598</v>
      </c>
      <c r="E1216" s="9" t="s">
        <v>1248</v>
      </c>
      <c r="F1216" s="9" t="s">
        <v>732</v>
      </c>
      <c r="G1216" s="54">
        <v>152948.85</v>
      </c>
      <c r="H1216" s="54">
        <f>13765+13765</f>
        <v>27530</v>
      </c>
      <c r="I1216" s="54">
        <f>+G1216+H1216</f>
        <v>180478.85</v>
      </c>
      <c r="J1216" s="58" t="e">
        <f>+#REF!+#REF!+#REF!+#REF!+1.15</f>
        <v>#REF!</v>
      </c>
      <c r="K1216" s="38">
        <v>44575</v>
      </c>
    </row>
    <row r="1217" spans="1:11" s="1" customFormat="1" ht="60" x14ac:dyDescent="0.2">
      <c r="A1217" s="7">
        <v>5</v>
      </c>
      <c r="B1217" s="38">
        <v>44573</v>
      </c>
      <c r="C1217" s="9">
        <v>705</v>
      </c>
      <c r="D1217" s="9" t="s">
        <v>598</v>
      </c>
      <c r="E1217" s="9" t="s">
        <v>1249</v>
      </c>
      <c r="F1217" s="9" t="s">
        <v>42</v>
      </c>
      <c r="G1217" s="54">
        <v>5920</v>
      </c>
      <c r="H1217" s="54">
        <f>533+533</f>
        <v>1066</v>
      </c>
      <c r="I1217" s="54">
        <f>+G1217+H1217</f>
        <v>6986</v>
      </c>
      <c r="J1217" s="58" t="e">
        <f>+#REF!+#REF!+#REF!+#REF!</f>
        <v>#REF!</v>
      </c>
      <c r="K1217" s="38">
        <v>44608</v>
      </c>
    </row>
    <row r="1218" spans="1:11" s="28" customFormat="1" ht="15.75" x14ac:dyDescent="0.25">
      <c r="A1218" s="25"/>
      <c r="B1218" s="60"/>
      <c r="C1218" s="27"/>
      <c r="D1218" s="27"/>
      <c r="E1218" s="27"/>
      <c r="F1218" s="27"/>
      <c r="G1218" s="61">
        <f t="shared" ref="G1218:I1218" si="56">SUM(G1213:G1217)</f>
        <v>429983.66000000003</v>
      </c>
      <c r="H1218" s="61">
        <f t="shared" si="56"/>
        <v>77396</v>
      </c>
      <c r="I1218" s="61">
        <f t="shared" si="56"/>
        <v>507379.66000000003</v>
      </c>
      <c r="J1218" s="62"/>
      <c r="K1218" s="60"/>
    </row>
    <row r="1219" spans="1:11" s="1" customFormat="1" ht="15.75" x14ac:dyDescent="0.2">
      <c r="A1219" s="7"/>
      <c r="B1219" s="38"/>
      <c r="C1219" s="9"/>
      <c r="D1219" s="9"/>
      <c r="E1219" s="47" t="s">
        <v>2135</v>
      </c>
      <c r="F1219" s="9"/>
      <c r="G1219" s="54"/>
      <c r="H1219" s="54"/>
      <c r="I1219" s="54"/>
      <c r="J1219" s="58"/>
      <c r="K1219" s="38"/>
    </row>
    <row r="1220" spans="1:11" s="1" customFormat="1" ht="75" x14ac:dyDescent="0.2">
      <c r="A1220" s="7">
        <v>1</v>
      </c>
      <c r="B1220" s="38">
        <v>44625</v>
      </c>
      <c r="C1220" s="9" t="s">
        <v>1253</v>
      </c>
      <c r="D1220" s="9" t="s">
        <v>598</v>
      </c>
      <c r="E1220" s="9" t="s">
        <v>1254</v>
      </c>
      <c r="F1220" s="9" t="s">
        <v>441</v>
      </c>
      <c r="G1220" s="54">
        <v>22400</v>
      </c>
      <c r="H1220" s="54">
        <f>2016+2016</f>
        <v>4032</v>
      </c>
      <c r="I1220" s="54">
        <f t="shared" si="48"/>
        <v>26432</v>
      </c>
      <c r="J1220" s="58" t="e">
        <f>+#REF!+#REF!+#REF!+#REF!</f>
        <v>#REF!</v>
      </c>
      <c r="K1220" s="38">
        <v>44664</v>
      </c>
    </row>
    <row r="1221" spans="1:11" s="1" customFormat="1" ht="45" x14ac:dyDescent="0.2">
      <c r="A1221" s="7">
        <v>2</v>
      </c>
      <c r="B1221" s="38">
        <v>44627</v>
      </c>
      <c r="C1221" s="9"/>
      <c r="D1221" s="9" t="s">
        <v>598</v>
      </c>
      <c r="E1221" s="9" t="s">
        <v>1255</v>
      </c>
      <c r="F1221" s="9" t="s">
        <v>1256</v>
      </c>
      <c r="G1221" s="54">
        <v>5560</v>
      </c>
      <c r="H1221" s="54"/>
      <c r="I1221" s="54">
        <f t="shared" si="48"/>
        <v>5560</v>
      </c>
      <c r="J1221" s="58" t="e">
        <f>+#REF!+#REF!+#REF!+#REF!</f>
        <v>#REF!</v>
      </c>
      <c r="K1221" s="38">
        <v>44627</v>
      </c>
    </row>
    <row r="1222" spans="1:11" s="1" customFormat="1" ht="45" x14ac:dyDescent="0.2">
      <c r="A1222" s="7">
        <v>3</v>
      </c>
      <c r="B1222" s="38">
        <v>44707</v>
      </c>
      <c r="C1222" s="9">
        <v>69095611</v>
      </c>
      <c r="D1222" s="9" t="s">
        <v>598</v>
      </c>
      <c r="E1222" s="9" t="s">
        <v>904</v>
      </c>
      <c r="F1222" s="9" t="s">
        <v>691</v>
      </c>
      <c r="G1222" s="54">
        <v>14253</v>
      </c>
      <c r="H1222" s="54">
        <v>1710</v>
      </c>
      <c r="I1222" s="54">
        <f>+G1222+H1222</f>
        <v>15963</v>
      </c>
      <c r="J1222" s="58" t="e">
        <f>+#REF!+#REF!+#REF!+#REF!</f>
        <v>#REF!</v>
      </c>
      <c r="K1222" s="38">
        <v>44705</v>
      </c>
    </row>
    <row r="1223" spans="1:11" s="1" customFormat="1" ht="45" x14ac:dyDescent="0.2">
      <c r="A1223" s="7">
        <v>4</v>
      </c>
      <c r="B1223" s="38">
        <v>44711</v>
      </c>
      <c r="C1223" s="9">
        <v>33</v>
      </c>
      <c r="D1223" s="9" t="s">
        <v>598</v>
      </c>
      <c r="E1223" s="9" t="s">
        <v>902</v>
      </c>
      <c r="F1223" s="9" t="s">
        <v>903</v>
      </c>
      <c r="G1223" s="54">
        <v>280000</v>
      </c>
      <c r="H1223" s="54">
        <v>50400</v>
      </c>
      <c r="I1223" s="54">
        <f>+G1223+H1223</f>
        <v>330400</v>
      </c>
      <c r="J1223" s="58" t="e">
        <f>+#REF!+#REF!+#REF!+#REF!</f>
        <v>#REF!</v>
      </c>
      <c r="K1223" s="38">
        <v>44686</v>
      </c>
    </row>
    <row r="1224" spans="1:11" s="28" customFormat="1" ht="15.75" x14ac:dyDescent="0.25">
      <c r="A1224" s="25"/>
      <c r="B1224" s="60"/>
      <c r="C1224" s="27"/>
      <c r="D1224" s="27"/>
      <c r="E1224" s="27"/>
      <c r="F1224" s="27"/>
      <c r="G1224" s="61">
        <f t="shared" ref="G1224:I1224" si="57">SUM(G1220:G1223)</f>
        <v>322213</v>
      </c>
      <c r="H1224" s="61">
        <f t="shared" si="57"/>
        <v>56142</v>
      </c>
      <c r="I1224" s="61">
        <f t="shared" si="57"/>
        <v>378355</v>
      </c>
      <c r="J1224" s="62"/>
      <c r="K1224" s="60"/>
    </row>
    <row r="1225" spans="1:11" s="1" customFormat="1" ht="31.5" x14ac:dyDescent="0.2">
      <c r="A1225" s="7"/>
      <c r="B1225" s="38"/>
      <c r="C1225" s="9"/>
      <c r="D1225" s="9"/>
      <c r="E1225" s="47" t="s">
        <v>2136</v>
      </c>
      <c r="F1225" s="9"/>
      <c r="G1225" s="54"/>
      <c r="H1225" s="54"/>
      <c r="I1225" s="54"/>
      <c r="J1225" s="58"/>
      <c r="K1225" s="38"/>
    </row>
    <row r="1226" spans="1:11" s="1" customFormat="1" ht="45" x14ac:dyDescent="0.2">
      <c r="A1226" s="7">
        <v>1</v>
      </c>
      <c r="B1226" s="38">
        <v>45014</v>
      </c>
      <c r="C1226" s="9" t="s">
        <v>476</v>
      </c>
      <c r="D1226" s="9" t="s">
        <v>598</v>
      </c>
      <c r="E1226" s="9" t="s">
        <v>1093</v>
      </c>
      <c r="F1226" s="9" t="s">
        <v>665</v>
      </c>
      <c r="G1226" s="54">
        <v>350</v>
      </c>
      <c r="H1226" s="54">
        <v>0</v>
      </c>
      <c r="I1226" s="54">
        <f t="shared" si="48"/>
        <v>350</v>
      </c>
      <c r="J1226" s="58" t="e">
        <f>+#REF!+#REF!+#REF!+#REF!</f>
        <v>#REF!</v>
      </c>
      <c r="K1226" s="38">
        <v>45014</v>
      </c>
    </row>
    <row r="1227" spans="1:11" s="1" customFormat="1" ht="45" x14ac:dyDescent="0.2">
      <c r="A1227" s="7">
        <v>2</v>
      </c>
      <c r="B1227" s="38">
        <v>44974</v>
      </c>
      <c r="C1227" s="9" t="s">
        <v>952</v>
      </c>
      <c r="D1227" s="9" t="s">
        <v>598</v>
      </c>
      <c r="E1227" s="9" t="s">
        <v>953</v>
      </c>
      <c r="F1227" s="9" t="s">
        <v>954</v>
      </c>
      <c r="G1227" s="54">
        <v>4150000</v>
      </c>
      <c r="H1227" s="54">
        <v>747000</v>
      </c>
      <c r="I1227" s="54">
        <f t="shared" ref="I1227:I1249" si="58">+G1227+H1227</f>
        <v>4897000</v>
      </c>
      <c r="J1227" s="58" t="e">
        <f>+#REF!+#REF!+#REF!+#REF!</f>
        <v>#REF!</v>
      </c>
      <c r="K1227" s="38" t="s">
        <v>1955</v>
      </c>
    </row>
    <row r="1228" spans="1:11" s="1" customFormat="1" ht="45" x14ac:dyDescent="0.2">
      <c r="A1228" s="7">
        <v>3</v>
      </c>
      <c r="B1228" s="38">
        <v>44974</v>
      </c>
      <c r="C1228" s="9"/>
      <c r="D1228" s="9" t="s">
        <v>598</v>
      </c>
      <c r="E1228" s="9" t="s">
        <v>1017</v>
      </c>
      <c r="F1228" s="9" t="s">
        <v>1018</v>
      </c>
      <c r="G1228" s="54">
        <v>45100</v>
      </c>
      <c r="H1228" s="54">
        <v>0</v>
      </c>
      <c r="I1228" s="54">
        <f t="shared" si="58"/>
        <v>45100</v>
      </c>
      <c r="J1228" s="58" t="e">
        <f>+#REF!+#REF!+#REF!+#REF!</f>
        <v>#REF!</v>
      </c>
      <c r="K1228" s="38">
        <v>44985</v>
      </c>
    </row>
    <row r="1229" spans="1:11" s="1" customFormat="1" ht="45" x14ac:dyDescent="0.2">
      <c r="A1229" s="7">
        <v>4</v>
      </c>
      <c r="B1229" s="38">
        <v>44984</v>
      </c>
      <c r="C1229" s="9" t="s">
        <v>476</v>
      </c>
      <c r="D1229" s="9" t="s">
        <v>598</v>
      </c>
      <c r="E1229" s="9" t="s">
        <v>960</v>
      </c>
      <c r="F1229" s="9" t="s">
        <v>961</v>
      </c>
      <c r="G1229" s="54">
        <v>2500</v>
      </c>
      <c r="H1229" s="54">
        <v>0</v>
      </c>
      <c r="I1229" s="54">
        <f t="shared" si="58"/>
        <v>2500</v>
      </c>
      <c r="J1229" s="58" t="e">
        <f>+#REF!+#REF!+#REF!+#REF!</f>
        <v>#REF!</v>
      </c>
      <c r="K1229" s="38">
        <v>44984</v>
      </c>
    </row>
    <row r="1230" spans="1:11" s="1" customFormat="1" ht="45" x14ac:dyDescent="0.2">
      <c r="A1230" s="7">
        <v>5</v>
      </c>
      <c r="B1230" s="38">
        <v>45005</v>
      </c>
      <c r="C1230" s="9" t="s">
        <v>1071</v>
      </c>
      <c r="D1230" s="9" t="s">
        <v>598</v>
      </c>
      <c r="E1230" s="9" t="s">
        <v>1072</v>
      </c>
      <c r="F1230" s="9" t="s">
        <v>523</v>
      </c>
      <c r="G1230" s="54">
        <v>2118.65</v>
      </c>
      <c r="H1230" s="54">
        <f>191+191</f>
        <v>382</v>
      </c>
      <c r="I1230" s="54">
        <f t="shared" si="58"/>
        <v>2500.65</v>
      </c>
      <c r="J1230" s="58" t="e">
        <f>+#REF!+#REF!+#REF!+#REF!-0.65</f>
        <v>#REF!</v>
      </c>
      <c r="K1230" s="38">
        <v>45043</v>
      </c>
    </row>
    <row r="1231" spans="1:11" s="1" customFormat="1" ht="45" x14ac:dyDescent="0.2">
      <c r="A1231" s="7">
        <v>6</v>
      </c>
      <c r="B1231" s="38">
        <v>45000</v>
      </c>
      <c r="C1231" s="9" t="s">
        <v>1060</v>
      </c>
      <c r="D1231" s="9" t="s">
        <v>598</v>
      </c>
      <c r="E1231" s="9" t="s">
        <v>1061</v>
      </c>
      <c r="F1231" s="9" t="s">
        <v>441</v>
      </c>
      <c r="G1231" s="54">
        <v>11700</v>
      </c>
      <c r="H1231" s="54">
        <f>1053+1053</f>
        <v>2106</v>
      </c>
      <c r="I1231" s="54">
        <f t="shared" si="58"/>
        <v>13806</v>
      </c>
      <c r="J1231" s="58" t="e">
        <f>+#REF!+#REF!+#REF!+#REF!</f>
        <v>#REF!</v>
      </c>
      <c r="K1231" s="8">
        <v>45043</v>
      </c>
    </row>
    <row r="1232" spans="1:11" s="1" customFormat="1" ht="45" x14ac:dyDescent="0.2">
      <c r="A1232" s="7">
        <v>7</v>
      </c>
      <c r="B1232" s="38">
        <v>45000</v>
      </c>
      <c r="C1232" s="9">
        <v>66260</v>
      </c>
      <c r="D1232" s="9" t="s">
        <v>598</v>
      </c>
      <c r="E1232" s="9" t="s">
        <v>1073</v>
      </c>
      <c r="F1232" s="9" t="s">
        <v>208</v>
      </c>
      <c r="G1232" s="54">
        <v>11000</v>
      </c>
      <c r="H1232" s="54">
        <f>990+990</f>
        <v>1980</v>
      </c>
      <c r="I1232" s="54">
        <f t="shared" si="58"/>
        <v>12980</v>
      </c>
      <c r="J1232" s="58" t="e">
        <f>+#REF!+#REF!+#REF!+#REF!</f>
        <v>#REF!</v>
      </c>
      <c r="K1232" s="8">
        <v>45043</v>
      </c>
    </row>
    <row r="1233" spans="1:11" s="1" customFormat="1" ht="45" x14ac:dyDescent="0.2">
      <c r="A1233" s="7">
        <v>8</v>
      </c>
      <c r="B1233" s="38">
        <v>45002</v>
      </c>
      <c r="C1233" s="9" t="s">
        <v>1062</v>
      </c>
      <c r="D1233" s="9" t="s">
        <v>598</v>
      </c>
      <c r="E1233" s="9" t="s">
        <v>1063</v>
      </c>
      <c r="F1233" s="9" t="s">
        <v>441</v>
      </c>
      <c r="G1233" s="54">
        <v>16020</v>
      </c>
      <c r="H1233" s="54">
        <f>1442+1442</f>
        <v>2884</v>
      </c>
      <c r="I1233" s="54">
        <f t="shared" si="58"/>
        <v>18904</v>
      </c>
      <c r="J1233" s="58" t="e">
        <f>+#REF!+#REF!+#REF!+#REF!</f>
        <v>#REF!</v>
      </c>
      <c r="K1233" s="8">
        <v>45043</v>
      </c>
    </row>
    <row r="1234" spans="1:11" s="1" customFormat="1" ht="45" x14ac:dyDescent="0.2">
      <c r="A1234" s="7">
        <v>9</v>
      </c>
      <c r="B1234" s="38">
        <v>45003</v>
      </c>
      <c r="C1234" s="9" t="s">
        <v>1066</v>
      </c>
      <c r="D1234" s="9" t="s">
        <v>598</v>
      </c>
      <c r="E1234" s="9" t="s">
        <v>1067</v>
      </c>
      <c r="F1234" s="9" t="s">
        <v>447</v>
      </c>
      <c r="G1234" s="54">
        <v>4962.72</v>
      </c>
      <c r="H1234" s="54">
        <f>447+447</f>
        <v>894</v>
      </c>
      <c r="I1234" s="54">
        <f t="shared" si="58"/>
        <v>5856.72</v>
      </c>
      <c r="J1234" s="58" t="e">
        <f>+#REF!+#REF!+#REF!+#REF!-0.72</f>
        <v>#REF!</v>
      </c>
      <c r="K1234" s="8">
        <v>45043</v>
      </c>
    </row>
    <row r="1235" spans="1:11" s="1" customFormat="1" ht="45" x14ac:dyDescent="0.2">
      <c r="A1235" s="7">
        <v>10</v>
      </c>
      <c r="B1235" s="38">
        <v>45010</v>
      </c>
      <c r="C1235" s="9" t="s">
        <v>1079</v>
      </c>
      <c r="D1235" s="9" t="s">
        <v>598</v>
      </c>
      <c r="E1235" s="9" t="s">
        <v>1080</v>
      </c>
      <c r="F1235" s="9" t="s">
        <v>441</v>
      </c>
      <c r="G1235" s="54">
        <v>17700</v>
      </c>
      <c r="H1235" s="54">
        <f>1593+1593</f>
        <v>3186</v>
      </c>
      <c r="I1235" s="54">
        <f t="shared" si="58"/>
        <v>20886</v>
      </c>
      <c r="J1235" s="58" t="e">
        <f>+#REF!+#REF!+#REF!+#REF!</f>
        <v>#REF!</v>
      </c>
      <c r="K1235" s="8">
        <v>45043</v>
      </c>
    </row>
    <row r="1236" spans="1:11" s="1" customFormat="1" ht="75" x14ac:dyDescent="0.2">
      <c r="A1236" s="7">
        <v>11</v>
      </c>
      <c r="B1236" s="38">
        <v>45011</v>
      </c>
      <c r="C1236" s="9" t="s">
        <v>1083</v>
      </c>
      <c r="D1236" s="9" t="s">
        <v>598</v>
      </c>
      <c r="E1236" s="9" t="s">
        <v>1084</v>
      </c>
      <c r="F1236" s="9" t="s">
        <v>151</v>
      </c>
      <c r="G1236" s="54">
        <v>3149</v>
      </c>
      <c r="H1236" s="54">
        <f>283+283</f>
        <v>566</v>
      </c>
      <c r="I1236" s="54">
        <f t="shared" si="58"/>
        <v>3715</v>
      </c>
      <c r="J1236" s="58" t="e">
        <f>+#REF!+#REF!+#REF!+#REF!+1</f>
        <v>#REF!</v>
      </c>
      <c r="K1236" s="8">
        <v>45044</v>
      </c>
    </row>
    <row r="1237" spans="1:11" s="1" customFormat="1" ht="45" x14ac:dyDescent="0.2">
      <c r="A1237" s="7">
        <v>12</v>
      </c>
      <c r="B1237" s="38">
        <v>45011</v>
      </c>
      <c r="C1237" s="9" t="s">
        <v>1089</v>
      </c>
      <c r="D1237" s="9" t="s">
        <v>598</v>
      </c>
      <c r="E1237" s="9" t="s">
        <v>1090</v>
      </c>
      <c r="F1237" s="9" t="s">
        <v>151</v>
      </c>
      <c r="G1237" s="54">
        <v>19200</v>
      </c>
      <c r="H1237" s="54">
        <f>1728+1728</f>
        <v>3456</v>
      </c>
      <c r="I1237" s="54">
        <f t="shared" si="58"/>
        <v>22656</v>
      </c>
      <c r="J1237" s="58" t="e">
        <f>+#REF!+#REF!+#REF!+#REF!</f>
        <v>#REF!</v>
      </c>
      <c r="K1237" s="8">
        <v>45044</v>
      </c>
    </row>
    <row r="1238" spans="1:11" s="1" customFormat="1" ht="60" x14ac:dyDescent="0.2">
      <c r="A1238" s="7">
        <v>13</v>
      </c>
      <c r="B1238" s="38">
        <v>45011</v>
      </c>
      <c r="C1238" s="9" t="s">
        <v>1091</v>
      </c>
      <c r="D1238" s="9" t="s">
        <v>598</v>
      </c>
      <c r="E1238" s="9" t="s">
        <v>1092</v>
      </c>
      <c r="F1238" s="9" t="s">
        <v>151</v>
      </c>
      <c r="G1238" s="54">
        <v>62051.5</v>
      </c>
      <c r="H1238" s="54">
        <f>5585+5585</f>
        <v>11170</v>
      </c>
      <c r="I1238" s="54">
        <f t="shared" si="58"/>
        <v>73221.5</v>
      </c>
      <c r="J1238" s="58" t="e">
        <f>+#REF!+#REF!+#REF!+#REF!-0.5</f>
        <v>#REF!</v>
      </c>
      <c r="K1238" s="8">
        <v>45044</v>
      </c>
    </row>
    <row r="1239" spans="1:11" s="1" customFormat="1" ht="45" x14ac:dyDescent="0.2">
      <c r="A1239" s="7">
        <v>14</v>
      </c>
      <c r="B1239" s="38">
        <v>45013</v>
      </c>
      <c r="C1239" s="9" t="s">
        <v>1086</v>
      </c>
      <c r="D1239" s="9" t="s">
        <v>598</v>
      </c>
      <c r="E1239" s="9" t="s">
        <v>1087</v>
      </c>
      <c r="F1239" s="9" t="s">
        <v>441</v>
      </c>
      <c r="G1239" s="54">
        <v>30330</v>
      </c>
      <c r="H1239" s="54">
        <f>2730+2730</f>
        <v>5460</v>
      </c>
      <c r="I1239" s="54">
        <f t="shared" si="58"/>
        <v>35790</v>
      </c>
      <c r="J1239" s="58" t="e">
        <f>+#REF!+#REF!+#REF!+#REF!-1</f>
        <v>#REF!</v>
      </c>
      <c r="K1239" s="8">
        <v>45043</v>
      </c>
    </row>
    <row r="1240" spans="1:11" s="1" customFormat="1" ht="45" x14ac:dyDescent="0.2">
      <c r="A1240" s="7">
        <v>15</v>
      </c>
      <c r="B1240" s="38">
        <v>45015</v>
      </c>
      <c r="C1240" s="9" t="s">
        <v>1096</v>
      </c>
      <c r="D1240" s="9" t="s">
        <v>598</v>
      </c>
      <c r="E1240" s="9" t="s">
        <v>1097</v>
      </c>
      <c r="F1240" s="9" t="s">
        <v>151</v>
      </c>
      <c r="G1240" s="54">
        <v>53100</v>
      </c>
      <c r="H1240" s="54">
        <f>4779+4779</f>
        <v>9558</v>
      </c>
      <c r="I1240" s="54">
        <f t="shared" si="58"/>
        <v>62658</v>
      </c>
      <c r="J1240" s="58" t="e">
        <f>+#REF!+#REF!+#REF!+#REF!</f>
        <v>#REF!</v>
      </c>
      <c r="K1240" s="8">
        <v>45044</v>
      </c>
    </row>
    <row r="1241" spans="1:11" s="1" customFormat="1" ht="45" x14ac:dyDescent="0.2">
      <c r="A1241" s="7">
        <v>16</v>
      </c>
      <c r="B1241" s="38">
        <v>45016</v>
      </c>
      <c r="C1241" s="9" t="s">
        <v>476</v>
      </c>
      <c r="D1241" s="9" t="s">
        <v>598</v>
      </c>
      <c r="E1241" s="9" t="s">
        <v>1102</v>
      </c>
      <c r="F1241" s="9" t="s">
        <v>1103</v>
      </c>
      <c r="G1241" s="54">
        <v>230</v>
      </c>
      <c r="H1241" s="54">
        <v>0</v>
      </c>
      <c r="I1241" s="54">
        <f t="shared" si="58"/>
        <v>230</v>
      </c>
      <c r="J1241" s="58" t="e">
        <f>+#REF!+#REF!+#REF!+#REF!</f>
        <v>#REF!</v>
      </c>
      <c r="K1241" s="8">
        <v>45016</v>
      </c>
    </row>
    <row r="1242" spans="1:11" s="1" customFormat="1" ht="45" x14ac:dyDescent="0.2">
      <c r="A1242" s="7">
        <v>17</v>
      </c>
      <c r="B1242" s="38">
        <v>45016</v>
      </c>
      <c r="C1242" s="9" t="s">
        <v>476</v>
      </c>
      <c r="D1242" s="9" t="s">
        <v>598</v>
      </c>
      <c r="E1242" s="9" t="s">
        <v>1104</v>
      </c>
      <c r="F1242" s="9" t="s">
        <v>1105</v>
      </c>
      <c r="G1242" s="54">
        <v>3000</v>
      </c>
      <c r="H1242" s="54">
        <v>0</v>
      </c>
      <c r="I1242" s="54">
        <f t="shared" si="58"/>
        <v>3000</v>
      </c>
      <c r="J1242" s="58" t="e">
        <f>+#REF!+#REF!+#REF!+#REF!</f>
        <v>#REF!</v>
      </c>
      <c r="K1242" s="8">
        <v>45016</v>
      </c>
    </row>
    <row r="1243" spans="1:11" s="1" customFormat="1" ht="45" x14ac:dyDescent="0.2">
      <c r="A1243" s="7">
        <v>18</v>
      </c>
      <c r="B1243" s="38">
        <v>45016</v>
      </c>
      <c r="C1243" s="9">
        <v>230337</v>
      </c>
      <c r="D1243" s="9" t="s">
        <v>598</v>
      </c>
      <c r="E1243" s="9" t="s">
        <v>1108</v>
      </c>
      <c r="F1243" s="9" t="s">
        <v>1109</v>
      </c>
      <c r="G1243" s="54">
        <v>53127</v>
      </c>
      <c r="H1243" s="54">
        <f>2702+2702+3234+3234</f>
        <v>11872</v>
      </c>
      <c r="I1243" s="54">
        <f t="shared" si="58"/>
        <v>64999</v>
      </c>
      <c r="J1243" s="58" t="e">
        <f>+#REF!+#REF!+#REF!+#REF!+1</f>
        <v>#REF!</v>
      </c>
      <c r="K1243" s="8">
        <v>45034</v>
      </c>
    </row>
    <row r="1244" spans="1:11" s="1" customFormat="1" ht="60" x14ac:dyDescent="0.2">
      <c r="A1244" s="7">
        <v>19</v>
      </c>
      <c r="B1244" s="38">
        <v>45020</v>
      </c>
      <c r="C1244" s="9" t="s">
        <v>1180</v>
      </c>
      <c r="D1244" s="9" t="s">
        <v>598</v>
      </c>
      <c r="E1244" s="9" t="s">
        <v>1181</v>
      </c>
      <c r="F1244" s="9" t="s">
        <v>447</v>
      </c>
      <c r="G1244" s="54">
        <v>43288.2</v>
      </c>
      <c r="H1244" s="54">
        <f>3896+3896</f>
        <v>7792</v>
      </c>
      <c r="I1244" s="54">
        <f t="shared" si="58"/>
        <v>51080.2</v>
      </c>
      <c r="J1244" s="58" t="e">
        <f>+#REF!+#REF!+#REF!+#REF!-0.2</f>
        <v>#REF!</v>
      </c>
      <c r="K1244" s="8">
        <v>45086</v>
      </c>
    </row>
    <row r="1245" spans="1:11" s="1" customFormat="1" ht="15" x14ac:dyDescent="0.2">
      <c r="A1245" s="7"/>
      <c r="B1245" s="38"/>
      <c r="C1245" s="9"/>
      <c r="D1245" s="9"/>
      <c r="E1245" s="9"/>
      <c r="F1245" s="9"/>
      <c r="G1245" s="54"/>
      <c r="H1245" s="54"/>
      <c r="I1245" s="54"/>
      <c r="J1245" s="58" t="e">
        <f>+#REF!+#REF!+#REF!+#REF!</f>
        <v>#REF!</v>
      </c>
      <c r="K1245" s="8">
        <v>45029</v>
      </c>
    </row>
    <row r="1246" spans="1:11" s="1" customFormat="1" ht="60" x14ac:dyDescent="0.2">
      <c r="A1246" s="7">
        <v>21</v>
      </c>
      <c r="B1246" s="38">
        <v>45060</v>
      </c>
      <c r="C1246" s="9" t="s">
        <v>1529</v>
      </c>
      <c r="D1246" s="9" t="s">
        <v>598</v>
      </c>
      <c r="E1246" s="9" t="s">
        <v>1530</v>
      </c>
      <c r="F1246" s="9" t="s">
        <v>447</v>
      </c>
      <c r="G1246" s="54">
        <v>10882.8</v>
      </c>
      <c r="H1246" s="54">
        <f>979+979</f>
        <v>1958</v>
      </c>
      <c r="I1246" s="54">
        <f t="shared" si="58"/>
        <v>12840.8</v>
      </c>
      <c r="J1246" s="58" t="e">
        <f>+#REF!+#REF!+#REF!+#REF!+1.2</f>
        <v>#REF!</v>
      </c>
      <c r="K1246" s="8">
        <v>45136</v>
      </c>
    </row>
    <row r="1247" spans="1:11" s="1" customFormat="1" ht="45" x14ac:dyDescent="0.2">
      <c r="A1247" s="7">
        <v>22</v>
      </c>
      <c r="B1247" s="38">
        <v>45061</v>
      </c>
      <c r="C1247" s="9" t="s">
        <v>1531</v>
      </c>
      <c r="D1247" s="9" t="s">
        <v>598</v>
      </c>
      <c r="E1247" s="9" t="s">
        <v>1532</v>
      </c>
      <c r="F1247" s="9" t="s">
        <v>447</v>
      </c>
      <c r="G1247" s="54">
        <v>4095</v>
      </c>
      <c r="H1247" s="54">
        <f>369+369</f>
        <v>738</v>
      </c>
      <c r="I1247" s="54">
        <f t="shared" si="58"/>
        <v>4833</v>
      </c>
      <c r="J1247" s="58" t="e">
        <f>+#REF!+#REF!+#REF!+#REF!-1</f>
        <v>#REF!</v>
      </c>
      <c r="K1247" s="8">
        <v>45136</v>
      </c>
    </row>
    <row r="1248" spans="1:11" s="1" customFormat="1" ht="45" x14ac:dyDescent="0.2">
      <c r="A1248" s="7">
        <v>23</v>
      </c>
      <c r="B1248" s="38">
        <v>45093</v>
      </c>
      <c r="C1248" s="9"/>
      <c r="D1248" s="9" t="s">
        <v>598</v>
      </c>
      <c r="E1248" s="9" t="s">
        <v>1694</v>
      </c>
      <c r="F1248" s="9" t="s">
        <v>1693</v>
      </c>
      <c r="G1248" s="54">
        <v>70000</v>
      </c>
      <c r="H1248" s="54">
        <v>0</v>
      </c>
      <c r="I1248" s="54">
        <f t="shared" si="58"/>
        <v>70000</v>
      </c>
      <c r="J1248" s="58" t="e">
        <f>+#REF!+#REF!+#REF!+#REF!</f>
        <v>#REF!</v>
      </c>
      <c r="K1248" s="8">
        <v>45093</v>
      </c>
    </row>
    <row r="1249" spans="1:11" s="1" customFormat="1" ht="75" x14ac:dyDescent="0.2">
      <c r="A1249" s="7">
        <v>24</v>
      </c>
      <c r="B1249" s="38">
        <v>45107</v>
      </c>
      <c r="C1249" s="9" t="s">
        <v>1732</v>
      </c>
      <c r="D1249" s="9" t="s">
        <v>598</v>
      </c>
      <c r="E1249" s="9" t="s">
        <v>1733</v>
      </c>
      <c r="F1249" s="9" t="s">
        <v>151</v>
      </c>
      <c r="G1249" s="54">
        <v>1720</v>
      </c>
      <c r="H1249" s="54">
        <f>155+155</f>
        <v>310</v>
      </c>
      <c r="I1249" s="54">
        <f t="shared" si="58"/>
        <v>2030</v>
      </c>
      <c r="J1249" s="58" t="e">
        <f>+#REF!+#REF!+#REF!+#REF!</f>
        <v>#REF!</v>
      </c>
      <c r="K1249" s="8">
        <v>45171</v>
      </c>
    </row>
    <row r="1250" spans="1:11" s="28" customFormat="1" ht="15.75" x14ac:dyDescent="0.25">
      <c r="A1250" s="25"/>
      <c r="B1250" s="60"/>
      <c r="C1250" s="27"/>
      <c r="D1250" s="27"/>
      <c r="E1250" s="27"/>
      <c r="F1250" s="27"/>
      <c r="G1250" s="61">
        <f t="shared" ref="G1250:I1250" si="59">SUM(G1225:G1249)</f>
        <v>4615624.87</v>
      </c>
      <c r="H1250" s="61">
        <f t="shared" si="59"/>
        <v>811312</v>
      </c>
      <c r="I1250" s="61">
        <f t="shared" si="59"/>
        <v>5426936.8700000001</v>
      </c>
      <c r="J1250" s="62"/>
      <c r="K1250" s="60"/>
    </row>
    <row r="1251" spans="1:11" s="1" customFormat="1" ht="31.5" x14ac:dyDescent="0.2">
      <c r="A1251" s="7"/>
      <c r="B1251" s="38"/>
      <c r="C1251" s="9"/>
      <c r="D1251" s="9"/>
      <c r="E1251" s="47" t="s">
        <v>2131</v>
      </c>
      <c r="F1251" s="9"/>
      <c r="G1251" s="54"/>
      <c r="H1251" s="54"/>
      <c r="I1251" s="54"/>
      <c r="J1251" s="58"/>
      <c r="K1251" s="38"/>
    </row>
    <row r="1252" spans="1:11" s="1" customFormat="1" ht="120" x14ac:dyDescent="0.2">
      <c r="A1252" s="7">
        <v>1</v>
      </c>
      <c r="B1252" s="38">
        <v>44828</v>
      </c>
      <c r="C1252" s="9" t="s">
        <v>551</v>
      </c>
      <c r="D1252" s="9" t="s">
        <v>598</v>
      </c>
      <c r="E1252" s="9" t="s">
        <v>552</v>
      </c>
      <c r="F1252" s="9" t="s">
        <v>550</v>
      </c>
      <c r="G1252" s="54">
        <v>193000</v>
      </c>
      <c r="H1252" s="54">
        <v>34740</v>
      </c>
      <c r="I1252" s="54">
        <f t="shared" si="48"/>
        <v>227740</v>
      </c>
      <c r="J1252" s="58" t="e">
        <f>+#REF!+#REF!+#REF!+#REF!</f>
        <v>#REF!</v>
      </c>
      <c r="K1252" s="38" t="s">
        <v>1956</v>
      </c>
    </row>
    <row r="1253" spans="1:11" s="1" customFormat="1" ht="45" x14ac:dyDescent="0.2">
      <c r="A1253" s="7">
        <v>2</v>
      </c>
      <c r="B1253" s="38">
        <v>44823</v>
      </c>
      <c r="C1253" s="9"/>
      <c r="D1253" s="9" t="s">
        <v>598</v>
      </c>
      <c r="E1253" s="9" t="s">
        <v>937</v>
      </c>
      <c r="F1253" s="9" t="s">
        <v>674</v>
      </c>
      <c r="G1253" s="54">
        <v>15000</v>
      </c>
      <c r="H1253" s="54">
        <v>0</v>
      </c>
      <c r="I1253" s="54">
        <f t="shared" si="48"/>
        <v>15000</v>
      </c>
      <c r="J1253" s="58" t="e">
        <f>+#REF!+#REF!+#REF!+#REF!</f>
        <v>#REF!</v>
      </c>
      <c r="K1253" s="38">
        <v>44837</v>
      </c>
    </row>
    <row r="1254" spans="1:11" s="28" customFormat="1" ht="15.75" x14ac:dyDescent="0.25">
      <c r="A1254" s="25"/>
      <c r="B1254" s="60"/>
      <c r="C1254" s="27"/>
      <c r="D1254" s="27"/>
      <c r="E1254" s="27"/>
      <c r="F1254" s="27"/>
      <c r="G1254" s="61">
        <f t="shared" ref="G1254:I1254" si="60">SUM(G1251:G1253)</f>
        <v>208000</v>
      </c>
      <c r="H1254" s="61">
        <f t="shared" si="60"/>
        <v>34740</v>
      </c>
      <c r="I1254" s="61">
        <f t="shared" si="60"/>
        <v>242740</v>
      </c>
      <c r="J1254" s="62"/>
      <c r="K1254" s="60"/>
    </row>
    <row r="1255" spans="1:11" s="1" customFormat="1" ht="15.75" x14ac:dyDescent="0.2">
      <c r="A1255" s="7"/>
      <c r="B1255" s="38"/>
      <c r="C1255" s="9"/>
      <c r="D1255" s="9"/>
      <c r="E1255" s="47" t="s">
        <v>2130</v>
      </c>
      <c r="F1255" s="9"/>
      <c r="G1255" s="54"/>
      <c r="H1255" s="54"/>
      <c r="I1255" s="54"/>
      <c r="J1255" s="58"/>
      <c r="K1255" s="38"/>
    </row>
    <row r="1256" spans="1:11" s="1" customFormat="1" ht="60" x14ac:dyDescent="0.2">
      <c r="A1256" s="7">
        <v>1</v>
      </c>
      <c r="B1256" s="38">
        <v>44580</v>
      </c>
      <c r="C1256" s="9"/>
      <c r="D1256" s="9" t="s">
        <v>598</v>
      </c>
      <c r="E1256" s="9" t="s">
        <v>553</v>
      </c>
      <c r="F1256" s="9" t="s">
        <v>554</v>
      </c>
      <c r="G1256" s="54">
        <v>55000</v>
      </c>
      <c r="H1256" s="54">
        <v>0</v>
      </c>
      <c r="I1256" s="54">
        <f>+G1256+H1256</f>
        <v>55000</v>
      </c>
      <c r="J1256" s="58" t="e">
        <f>+#REF!+#REF!+#REF!+#REF!</f>
        <v>#REF!</v>
      </c>
      <c r="K1256" s="38">
        <v>44580</v>
      </c>
    </row>
    <row r="1257" spans="1:11" s="1" customFormat="1" ht="45" x14ac:dyDescent="0.2">
      <c r="A1257" s="7">
        <v>2</v>
      </c>
      <c r="B1257" s="38">
        <v>44582</v>
      </c>
      <c r="C1257" s="9" t="s">
        <v>570</v>
      </c>
      <c r="D1257" s="9" t="s">
        <v>598</v>
      </c>
      <c r="E1257" s="9" t="s">
        <v>571</v>
      </c>
      <c r="F1257" s="9" t="s">
        <v>572</v>
      </c>
      <c r="G1257" s="54">
        <f>4814932-178179</f>
        <v>4636753</v>
      </c>
      <c r="H1257" s="54">
        <v>938189</v>
      </c>
      <c r="I1257" s="54">
        <f t="shared" si="48"/>
        <v>5574942</v>
      </c>
      <c r="J1257" s="58" t="e">
        <f>+#REF!+#REF!+#REF!+#REF!</f>
        <v>#REF!</v>
      </c>
      <c r="K1257" s="38" t="s">
        <v>2029</v>
      </c>
    </row>
    <row r="1258" spans="1:11" s="1" customFormat="1" ht="75" x14ac:dyDescent="0.2">
      <c r="A1258" s="7">
        <v>3</v>
      </c>
      <c r="B1258" s="38">
        <v>44586</v>
      </c>
      <c r="C1258" s="9" t="s">
        <v>573</v>
      </c>
      <c r="D1258" s="9" t="s">
        <v>598</v>
      </c>
      <c r="E1258" s="9" t="s">
        <v>574</v>
      </c>
      <c r="F1258" s="9" t="s">
        <v>546</v>
      </c>
      <c r="G1258" s="54">
        <f>406868+43388+158528-3366-3366-12300-12300+748+2733</f>
        <v>580933</v>
      </c>
      <c r="H1258" s="54">
        <f>3366+3366+12300+12300</f>
        <v>31332</v>
      </c>
      <c r="I1258" s="54">
        <f t="shared" si="48"/>
        <v>612265</v>
      </c>
      <c r="J1258" s="58" t="e">
        <f>+#REF!+#REF!+#REF!+#REF!</f>
        <v>#REF!</v>
      </c>
      <c r="K1258" s="38">
        <v>44571</v>
      </c>
    </row>
    <row r="1259" spans="1:11" s="1" customFormat="1" ht="60" x14ac:dyDescent="0.2">
      <c r="A1259" s="7">
        <v>4</v>
      </c>
      <c r="B1259" s="38">
        <v>44586</v>
      </c>
      <c r="C1259" s="9" t="s">
        <v>575</v>
      </c>
      <c r="D1259" s="9" t="s">
        <v>598</v>
      </c>
      <c r="E1259" s="9" t="s">
        <v>576</v>
      </c>
      <c r="F1259" s="9" t="s">
        <v>546</v>
      </c>
      <c r="G1259" s="54">
        <v>6000</v>
      </c>
      <c r="H1259" s="54">
        <f>540*2</f>
        <v>1080</v>
      </c>
      <c r="I1259" s="54">
        <f t="shared" si="48"/>
        <v>7080</v>
      </c>
      <c r="J1259" s="58" t="e">
        <f>+#REF!+#REF!+#REF!+#REF!</f>
        <v>#REF!</v>
      </c>
      <c r="K1259" s="38">
        <v>44580</v>
      </c>
    </row>
    <row r="1260" spans="1:11" s="1" customFormat="1" ht="45" x14ac:dyDescent="0.2">
      <c r="A1260" s="7">
        <v>5</v>
      </c>
      <c r="B1260" s="38">
        <v>44621</v>
      </c>
      <c r="C1260" s="9" t="s">
        <v>567</v>
      </c>
      <c r="D1260" s="9" t="s">
        <v>598</v>
      </c>
      <c r="E1260" s="9" t="s">
        <v>568</v>
      </c>
      <c r="F1260" s="9" t="s">
        <v>569</v>
      </c>
      <c r="G1260" s="54">
        <v>7500</v>
      </c>
      <c r="H1260" s="54">
        <f>675*2</f>
        <v>1350</v>
      </c>
      <c r="I1260" s="54">
        <f t="shared" ref="I1260:I1271" si="61">+G1260+H1260</f>
        <v>8850</v>
      </c>
      <c r="J1260" s="58" t="e">
        <f>+#REF!+#REF!+#REF!+#REF!</f>
        <v>#REF!</v>
      </c>
      <c r="K1260" s="38">
        <v>44579</v>
      </c>
    </row>
    <row r="1261" spans="1:11" s="28" customFormat="1" ht="15.75" x14ac:dyDescent="0.25">
      <c r="A1261" s="25"/>
      <c r="B1261" s="60"/>
      <c r="C1261" s="27"/>
      <c r="D1261" s="27"/>
      <c r="E1261" s="27"/>
      <c r="F1261" s="27"/>
      <c r="G1261" s="61">
        <f t="shared" ref="G1261:I1261" si="62">SUM(G1255:G1260)</f>
        <v>5286186</v>
      </c>
      <c r="H1261" s="61">
        <f t="shared" si="62"/>
        <v>971951</v>
      </c>
      <c r="I1261" s="61">
        <f t="shared" si="62"/>
        <v>6258137</v>
      </c>
      <c r="J1261" s="62"/>
      <c r="K1261" s="60"/>
    </row>
    <row r="1262" spans="1:11" s="1" customFormat="1" ht="31.5" x14ac:dyDescent="0.2">
      <c r="A1262" s="7"/>
      <c r="B1262" s="38"/>
      <c r="C1262" s="9"/>
      <c r="D1262" s="9"/>
      <c r="E1262" s="47" t="s">
        <v>2134</v>
      </c>
      <c r="F1262" s="9"/>
      <c r="G1262" s="54"/>
      <c r="H1262" s="54"/>
      <c r="I1262" s="54"/>
      <c r="J1262" s="58"/>
      <c r="K1262" s="38"/>
    </row>
    <row r="1263" spans="1:11" s="1" customFormat="1" ht="60" x14ac:dyDescent="0.2">
      <c r="A1263" s="7">
        <v>1</v>
      </c>
      <c r="B1263" s="38">
        <v>44840</v>
      </c>
      <c r="C1263" s="9">
        <v>47</v>
      </c>
      <c r="D1263" s="9" t="s">
        <v>598</v>
      </c>
      <c r="E1263" s="9" t="s">
        <v>898</v>
      </c>
      <c r="F1263" s="9" t="s">
        <v>897</v>
      </c>
      <c r="G1263" s="54">
        <f>1100000-25000</f>
        <v>1075000</v>
      </c>
      <c r="H1263" s="54">
        <f>99000+99000-2250-2250</f>
        <v>193500</v>
      </c>
      <c r="I1263" s="54">
        <f t="shared" si="61"/>
        <v>1268500</v>
      </c>
      <c r="J1263" s="58" t="e">
        <f>+#REF!+#REF!+#REF!+#REF!</f>
        <v>#REF!</v>
      </c>
      <c r="K1263" s="38" t="s">
        <v>2001</v>
      </c>
    </row>
    <row r="1264" spans="1:11" s="1" customFormat="1" ht="45" x14ac:dyDescent="0.2">
      <c r="A1264" s="7">
        <v>2</v>
      </c>
      <c r="B1264" s="38">
        <v>44838</v>
      </c>
      <c r="C1264" s="9" t="s">
        <v>899</v>
      </c>
      <c r="D1264" s="9" t="s">
        <v>598</v>
      </c>
      <c r="E1264" s="9" t="s">
        <v>900</v>
      </c>
      <c r="F1264" s="9" t="s">
        <v>901</v>
      </c>
      <c r="G1264" s="54">
        <v>46100</v>
      </c>
      <c r="H1264" s="54">
        <v>0</v>
      </c>
      <c r="I1264" s="54">
        <f t="shared" si="61"/>
        <v>46100</v>
      </c>
      <c r="J1264" s="58" t="e">
        <f>+#REF!+#REF!+#REF!+#REF!</f>
        <v>#REF!</v>
      </c>
      <c r="K1264" s="38">
        <v>44880</v>
      </c>
    </row>
    <row r="1265" spans="1:11" s="1" customFormat="1" ht="45" x14ac:dyDescent="0.2">
      <c r="A1265" s="7">
        <v>3</v>
      </c>
      <c r="B1265" s="38">
        <v>45013</v>
      </c>
      <c r="C1265" s="9" t="s">
        <v>1085</v>
      </c>
      <c r="D1265" s="9" t="s">
        <v>598</v>
      </c>
      <c r="E1265" s="9" t="s">
        <v>2126</v>
      </c>
      <c r="F1265" s="9" t="s">
        <v>46</v>
      </c>
      <c r="G1265" s="54">
        <v>1149183</v>
      </c>
      <c r="H1265" s="54">
        <f>103426+103426</f>
        <v>206852</v>
      </c>
      <c r="I1265" s="54">
        <f>+G1265+H1265</f>
        <v>1356035</v>
      </c>
      <c r="J1265" s="58" t="e">
        <f>+#REF!+#REF!+#REF!+#REF!+1</f>
        <v>#REF!</v>
      </c>
      <c r="K1265" s="58" t="s">
        <v>1934</v>
      </c>
    </row>
    <row r="1266" spans="1:11" s="28" customFormat="1" ht="15.75" x14ac:dyDescent="0.25">
      <c r="A1266" s="25"/>
      <c r="B1266" s="60"/>
      <c r="C1266" s="27"/>
      <c r="D1266" s="27"/>
      <c r="E1266" s="27"/>
      <c r="F1266" s="27"/>
      <c r="G1266" s="61">
        <f t="shared" ref="G1266:I1266" si="63">SUM(G1262:G1265)</f>
        <v>2270283</v>
      </c>
      <c r="H1266" s="61">
        <f t="shared" si="63"/>
        <v>400352</v>
      </c>
      <c r="I1266" s="61">
        <f t="shared" si="63"/>
        <v>2670635</v>
      </c>
      <c r="J1266" s="62"/>
      <c r="K1266" s="62"/>
    </row>
    <row r="1267" spans="1:11" s="1" customFormat="1" ht="31.5" x14ac:dyDescent="0.2">
      <c r="A1267" s="7"/>
      <c r="B1267" s="38"/>
      <c r="C1267" s="9"/>
      <c r="D1267" s="9"/>
      <c r="E1267" s="47" t="s">
        <v>2154</v>
      </c>
      <c r="F1267" s="9"/>
      <c r="G1267" s="54"/>
      <c r="H1267" s="54"/>
      <c r="I1267" s="54"/>
      <c r="J1267" s="58"/>
      <c r="K1267" s="38"/>
    </row>
    <row r="1268" spans="1:11" s="1" customFormat="1" ht="45" x14ac:dyDescent="0.2">
      <c r="A1268" s="7">
        <v>1</v>
      </c>
      <c r="B1268" s="38">
        <v>44934</v>
      </c>
      <c r="C1268" s="9" t="s">
        <v>1127</v>
      </c>
      <c r="D1268" s="9" t="s">
        <v>598</v>
      </c>
      <c r="E1268" s="9" t="s">
        <v>1128</v>
      </c>
      <c r="F1268" s="9" t="s">
        <v>817</v>
      </c>
      <c r="G1268" s="54">
        <v>367220</v>
      </c>
      <c r="H1268" s="54">
        <f>33050+33050</f>
        <v>66100</v>
      </c>
      <c r="I1268" s="54">
        <f t="shared" si="61"/>
        <v>433320</v>
      </c>
      <c r="J1268" s="58" t="e">
        <f>+#REF!+#REF!+#REF!+#REF!</f>
        <v>#REF!</v>
      </c>
      <c r="K1268" s="8">
        <v>44996</v>
      </c>
    </row>
    <row r="1269" spans="1:11" s="1" customFormat="1" ht="60" x14ac:dyDescent="0.2">
      <c r="A1269" s="7">
        <v>2</v>
      </c>
      <c r="B1269" s="38">
        <v>44934</v>
      </c>
      <c r="C1269" s="9" t="s">
        <v>1129</v>
      </c>
      <c r="D1269" s="9" t="s">
        <v>598</v>
      </c>
      <c r="E1269" s="9" t="s">
        <v>1130</v>
      </c>
      <c r="F1269" s="9" t="s">
        <v>817</v>
      </c>
      <c r="G1269" s="54">
        <v>72338.5</v>
      </c>
      <c r="H1269" s="54">
        <f>6510+6510</f>
        <v>13020</v>
      </c>
      <c r="I1269" s="54">
        <f t="shared" si="61"/>
        <v>85358.5</v>
      </c>
      <c r="J1269" s="58" t="e">
        <f>+#REF!+#REF!+#REF!+#REF!+0.5</f>
        <v>#REF!</v>
      </c>
      <c r="K1269" s="8">
        <v>44996</v>
      </c>
    </row>
    <row r="1270" spans="1:11" s="1" customFormat="1" ht="45" x14ac:dyDescent="0.2">
      <c r="A1270" s="7">
        <v>3</v>
      </c>
      <c r="B1270" s="38">
        <v>44934</v>
      </c>
      <c r="C1270" s="9">
        <v>54439</v>
      </c>
      <c r="D1270" s="9" t="s">
        <v>598</v>
      </c>
      <c r="E1270" s="9" t="s">
        <v>1131</v>
      </c>
      <c r="F1270" s="9" t="s">
        <v>158</v>
      </c>
      <c r="G1270" s="54">
        <v>1440</v>
      </c>
      <c r="H1270" s="54">
        <v>0</v>
      </c>
      <c r="I1270" s="54">
        <f t="shared" si="61"/>
        <v>1440</v>
      </c>
      <c r="J1270" s="58" t="e">
        <f>+#REF!+#REF!+#REF!+#REF!</f>
        <v>#REF!</v>
      </c>
      <c r="K1270" s="38">
        <v>44943</v>
      </c>
    </row>
    <row r="1271" spans="1:11" s="1" customFormat="1" ht="45" x14ac:dyDescent="0.2">
      <c r="A1271" s="7">
        <v>4</v>
      </c>
      <c r="B1271" s="38">
        <v>44943</v>
      </c>
      <c r="C1271" s="9" t="s">
        <v>476</v>
      </c>
      <c r="D1271" s="9" t="s">
        <v>598</v>
      </c>
      <c r="E1271" s="9" t="s">
        <v>762</v>
      </c>
      <c r="F1271" s="9" t="s">
        <v>762</v>
      </c>
      <c r="G1271" s="54">
        <v>3500</v>
      </c>
      <c r="H1271" s="54">
        <v>0</v>
      </c>
      <c r="I1271" s="54">
        <f t="shared" si="61"/>
        <v>3500</v>
      </c>
      <c r="J1271" s="58" t="e">
        <f>+#REF!+#REF!+#REF!+#REF!</f>
        <v>#REF!</v>
      </c>
      <c r="K1271" s="38">
        <v>44943</v>
      </c>
    </row>
    <row r="1272" spans="1:11" s="1" customFormat="1" ht="75" x14ac:dyDescent="0.2">
      <c r="A1272" s="7">
        <v>5</v>
      </c>
      <c r="B1272" s="38">
        <v>45040</v>
      </c>
      <c r="C1272" s="9" t="s">
        <v>1344</v>
      </c>
      <c r="D1272" s="9" t="s">
        <v>598</v>
      </c>
      <c r="E1272" s="9" t="s">
        <v>1345</v>
      </c>
      <c r="F1272" s="9" t="s">
        <v>441</v>
      </c>
      <c r="G1272" s="54">
        <v>12875</v>
      </c>
      <c r="H1272" s="54">
        <f>1159+1159</f>
        <v>2318</v>
      </c>
      <c r="I1272" s="54">
        <f>+G1272+H1272</f>
        <v>15193</v>
      </c>
      <c r="J1272" s="58" t="e">
        <f>+#REF!+#REF!+#REF!+#REF!</f>
        <v>#REF!</v>
      </c>
      <c r="K1272" s="8">
        <v>45076</v>
      </c>
    </row>
    <row r="1273" spans="1:11" s="1" customFormat="1" ht="45" x14ac:dyDescent="0.2">
      <c r="A1273" s="7">
        <v>6</v>
      </c>
      <c r="B1273" s="38">
        <v>45040</v>
      </c>
      <c r="C1273" s="9" t="s">
        <v>1346</v>
      </c>
      <c r="D1273" s="9" t="s">
        <v>598</v>
      </c>
      <c r="E1273" s="9" t="s">
        <v>1347</v>
      </c>
      <c r="F1273" s="9" t="s">
        <v>441</v>
      </c>
      <c r="G1273" s="54">
        <v>2880</v>
      </c>
      <c r="H1273" s="54">
        <f>259+259</f>
        <v>518</v>
      </c>
      <c r="I1273" s="54">
        <f>+G1273+H1273</f>
        <v>3398</v>
      </c>
      <c r="J1273" s="58" t="e">
        <f>+#REF!+#REF!+#REF!+#REF!</f>
        <v>#REF!</v>
      </c>
      <c r="K1273" s="8">
        <v>45076</v>
      </c>
    </row>
    <row r="1274" spans="1:11" s="1" customFormat="1" ht="45" x14ac:dyDescent="0.2">
      <c r="A1274" s="7">
        <v>7</v>
      </c>
      <c r="B1274" s="38">
        <v>45041</v>
      </c>
      <c r="C1274" s="9" t="s">
        <v>1351</v>
      </c>
      <c r="D1274" s="9" t="s">
        <v>598</v>
      </c>
      <c r="E1274" s="9" t="s">
        <v>1352</v>
      </c>
      <c r="F1274" s="9" t="s">
        <v>206</v>
      </c>
      <c r="G1274" s="54">
        <v>3823.52</v>
      </c>
      <c r="H1274" s="54">
        <f>344+344</f>
        <v>688</v>
      </c>
      <c r="I1274" s="54">
        <f>+G1274+H1274</f>
        <v>4511.5200000000004</v>
      </c>
      <c r="J1274" s="58" t="e">
        <f>+#REF!+#REF!+#REF!+#REF!+0.48</f>
        <v>#REF!</v>
      </c>
      <c r="K1274" s="58"/>
    </row>
    <row r="1275" spans="1:11" s="1" customFormat="1" ht="60" x14ac:dyDescent="0.2">
      <c r="A1275" s="7">
        <v>8</v>
      </c>
      <c r="B1275" s="38">
        <v>45041</v>
      </c>
      <c r="C1275" s="9" t="s">
        <v>1353</v>
      </c>
      <c r="D1275" s="9" t="s">
        <v>598</v>
      </c>
      <c r="E1275" s="9" t="s">
        <v>2152</v>
      </c>
      <c r="F1275" s="9" t="s">
        <v>206</v>
      </c>
      <c r="G1275" s="54">
        <v>8304</v>
      </c>
      <c r="H1275" s="54">
        <f>747+747</f>
        <v>1494</v>
      </c>
      <c r="I1275" s="54">
        <f>+G1275+H1275</f>
        <v>9798</v>
      </c>
      <c r="J1275" s="58" t="e">
        <f>+#REF!+#REF!+#REF!+#REF!+1</f>
        <v>#REF!</v>
      </c>
      <c r="K1275" s="58"/>
    </row>
    <row r="1276" spans="1:11" s="21" customFormat="1" ht="15.75" x14ac:dyDescent="0.25">
      <c r="A1276" s="63"/>
      <c r="B1276" s="64"/>
      <c r="C1276" s="65"/>
      <c r="D1276" s="65"/>
      <c r="E1276" s="65"/>
      <c r="F1276" s="66" t="s">
        <v>593</v>
      </c>
      <c r="G1276" s="67">
        <f t="shared" ref="G1276:I1276" si="64">SUM(G1267:G1275)</f>
        <v>472381.02</v>
      </c>
      <c r="H1276" s="67">
        <f t="shared" si="64"/>
        <v>84138</v>
      </c>
      <c r="I1276" s="67">
        <f t="shared" si="64"/>
        <v>556519.02</v>
      </c>
      <c r="J1276" s="68" t="e">
        <f>+#REF!+#REF!+#REF!+#REF!</f>
        <v>#REF!</v>
      </c>
      <c r="K1276" s="68"/>
    </row>
    <row r="1277" spans="1:11" s="1" customFormat="1" ht="15.75" x14ac:dyDescent="0.25">
      <c r="A1277" s="81"/>
      <c r="B1277" s="82"/>
      <c r="C1277" s="83"/>
      <c r="D1277" s="83"/>
      <c r="E1277" s="83"/>
      <c r="F1277" s="59"/>
      <c r="G1277" s="44"/>
      <c r="H1277" s="44"/>
      <c r="I1277" s="44"/>
      <c r="J1277" s="68"/>
      <c r="K1277" s="68"/>
    </row>
    <row r="1278" spans="1:11" s="80" customFormat="1" ht="16.5" thickBot="1" x14ac:dyDescent="0.3">
      <c r="A1278" s="76"/>
      <c r="B1278" s="77"/>
      <c r="C1278" s="78"/>
      <c r="D1278" s="78"/>
      <c r="E1278" s="78" t="s">
        <v>2125</v>
      </c>
      <c r="F1278" s="52" t="s">
        <v>2155</v>
      </c>
      <c r="G1278" s="43">
        <f t="shared" ref="G1278:I1278" si="65">+G1276+G1266+G1261+G1254+G1250+G1224+G1218+G1211</f>
        <v>18523998.830000002</v>
      </c>
      <c r="H1278" s="43">
        <f t="shared" si="65"/>
        <v>3262865</v>
      </c>
      <c r="I1278" s="43">
        <f t="shared" si="65"/>
        <v>21786863.830000002</v>
      </c>
      <c r="J1278" s="79" t="e">
        <f>+#REF!+#REF!+#REF!+#REF!</f>
        <v>#REF!</v>
      </c>
      <c r="K1278" s="79"/>
    </row>
    <row r="1279" spans="1:11" s="1" customFormat="1" ht="17.25" thickTop="1" thickBot="1" x14ac:dyDescent="0.3">
      <c r="A1279" s="69"/>
      <c r="B1279" s="70"/>
      <c r="C1279" s="71"/>
      <c r="D1279" s="71"/>
      <c r="E1279" s="72"/>
      <c r="F1279" s="73" t="s">
        <v>698</v>
      </c>
      <c r="G1279" s="74">
        <f t="shared" ref="G1279:I1279" si="66">+G138+G188+G228+G475+G543+G741+G787+G748+G797+G811+G816+G837+G990+G1029+G1092+G8+G1097+G1278</f>
        <v>174928418.43000001</v>
      </c>
      <c r="H1279" s="74">
        <f t="shared" si="66"/>
        <v>24931716.760000002</v>
      </c>
      <c r="I1279" s="74">
        <f t="shared" si="66"/>
        <v>199860135.19</v>
      </c>
      <c r="J1279" s="75" t="e">
        <f>+#REF!+#REF!+#REF!+#REF!</f>
        <v>#REF!</v>
      </c>
      <c r="K1279" s="75"/>
    </row>
    <row r="1280" spans="1:11" s="1" customFormat="1" ht="16.5" thickTop="1" x14ac:dyDescent="0.25">
      <c r="A1280" s="23"/>
      <c r="B1280" s="49"/>
      <c r="C1280" s="50"/>
      <c r="D1280" s="50"/>
      <c r="E1280" s="30" t="s">
        <v>697</v>
      </c>
      <c r="F1280" s="42"/>
      <c r="G1280" s="39"/>
      <c r="H1280" s="39"/>
      <c r="I1280" s="39"/>
      <c r="J1280" s="58" t="e">
        <f>+#REF!+#REF!+#REF!+#REF!</f>
        <v>#REF!</v>
      </c>
      <c r="K1280" s="58"/>
    </row>
    <row r="1281" spans="1:11" s="1" customFormat="1" ht="42.75" x14ac:dyDescent="0.2">
      <c r="A1281" s="7">
        <v>1</v>
      </c>
      <c r="B1281" s="8">
        <v>44592</v>
      </c>
      <c r="C1281" s="56"/>
      <c r="D1281" s="9" t="s">
        <v>695</v>
      </c>
      <c r="E1281" s="51" t="s">
        <v>401</v>
      </c>
      <c r="F1281" s="9" t="s">
        <v>352</v>
      </c>
      <c r="G1281" s="54">
        <v>123395</v>
      </c>
      <c r="H1281" s="54">
        <v>0</v>
      </c>
      <c r="I1281" s="54">
        <f t="shared" ref="I1281:I1365" si="67">+G1281+H1281</f>
        <v>123395</v>
      </c>
      <c r="J1281" s="58" t="e">
        <f>+#REF!+#REF!+#REF!+#REF!</f>
        <v>#REF!</v>
      </c>
      <c r="K1281" s="8">
        <v>44592</v>
      </c>
    </row>
    <row r="1282" spans="1:11" s="42" customFormat="1" ht="42.75" x14ac:dyDescent="0.25">
      <c r="A1282" s="7">
        <v>2</v>
      </c>
      <c r="B1282" s="8">
        <v>44619</v>
      </c>
      <c r="C1282" s="46"/>
      <c r="D1282" s="9" t="s">
        <v>695</v>
      </c>
      <c r="E1282" s="51" t="s">
        <v>614</v>
      </c>
      <c r="F1282" s="9" t="s">
        <v>352</v>
      </c>
      <c r="G1282" s="54">
        <v>196402</v>
      </c>
      <c r="H1282" s="54">
        <v>0</v>
      </c>
      <c r="I1282" s="54">
        <f t="shared" si="67"/>
        <v>196402</v>
      </c>
      <c r="J1282" s="58" t="e">
        <f>+#REF!+#REF!+#REF!+#REF!</f>
        <v>#REF!</v>
      </c>
      <c r="K1282" s="8">
        <v>44619</v>
      </c>
    </row>
    <row r="1283" spans="1:11" s="42" customFormat="1" ht="42.75" x14ac:dyDescent="0.25">
      <c r="A1283" s="7">
        <v>3</v>
      </c>
      <c r="B1283" s="8">
        <v>44651</v>
      </c>
      <c r="C1283" s="46"/>
      <c r="D1283" s="9" t="s">
        <v>695</v>
      </c>
      <c r="E1283" s="51" t="s">
        <v>615</v>
      </c>
      <c r="F1283" s="9" t="s">
        <v>352</v>
      </c>
      <c r="G1283" s="54">
        <v>219361</v>
      </c>
      <c r="H1283" s="54">
        <v>0</v>
      </c>
      <c r="I1283" s="54">
        <f t="shared" si="67"/>
        <v>219361</v>
      </c>
      <c r="J1283" s="58" t="e">
        <f>+#REF!+#REF!+#REF!+#REF!</f>
        <v>#REF!</v>
      </c>
      <c r="K1283" s="8">
        <v>44651</v>
      </c>
    </row>
    <row r="1284" spans="1:11" s="42" customFormat="1" ht="28.5" x14ac:dyDescent="0.25">
      <c r="A1284" s="7">
        <v>4</v>
      </c>
      <c r="B1284" s="8">
        <v>44681</v>
      </c>
      <c r="C1284" s="46"/>
      <c r="D1284" s="9" t="s">
        <v>695</v>
      </c>
      <c r="E1284" s="51" t="s">
        <v>402</v>
      </c>
      <c r="F1284" s="9" t="s">
        <v>352</v>
      </c>
      <c r="G1284" s="54">
        <v>222725</v>
      </c>
      <c r="H1284" s="54">
        <v>0</v>
      </c>
      <c r="I1284" s="54">
        <f t="shared" si="67"/>
        <v>222725</v>
      </c>
      <c r="J1284" s="58" t="e">
        <f>+#REF!+#REF!+#REF!+#REF!</f>
        <v>#REF!</v>
      </c>
      <c r="K1284" s="8">
        <v>44681</v>
      </c>
    </row>
    <row r="1285" spans="1:11" s="42" customFormat="1" ht="42.75" x14ac:dyDescent="0.25">
      <c r="A1285" s="7">
        <v>5</v>
      </c>
      <c r="B1285" s="8">
        <v>44712</v>
      </c>
      <c r="C1285" s="46"/>
      <c r="D1285" s="9" t="s">
        <v>695</v>
      </c>
      <c r="E1285" s="57" t="s">
        <v>403</v>
      </c>
      <c r="F1285" s="9" t="s">
        <v>352</v>
      </c>
      <c r="G1285" s="54">
        <v>165053</v>
      </c>
      <c r="H1285" s="54">
        <v>0</v>
      </c>
      <c r="I1285" s="54">
        <f t="shared" si="67"/>
        <v>165053</v>
      </c>
      <c r="J1285" s="58" t="e">
        <f>+#REF!+#REF!+#REF!+#REF!</f>
        <v>#REF!</v>
      </c>
      <c r="K1285" s="8">
        <v>44712</v>
      </c>
    </row>
    <row r="1286" spans="1:11" s="42" customFormat="1" ht="42.75" x14ac:dyDescent="0.25">
      <c r="A1286" s="7">
        <v>6</v>
      </c>
      <c r="B1286" s="8">
        <v>44712</v>
      </c>
      <c r="C1286" s="46"/>
      <c r="D1286" s="9" t="s">
        <v>695</v>
      </c>
      <c r="E1286" s="57" t="s">
        <v>403</v>
      </c>
      <c r="F1286" s="9" t="s">
        <v>352</v>
      </c>
      <c r="G1286" s="54">
        <v>63792</v>
      </c>
      <c r="H1286" s="54">
        <v>0</v>
      </c>
      <c r="I1286" s="54">
        <f t="shared" si="67"/>
        <v>63792</v>
      </c>
      <c r="J1286" s="58" t="e">
        <f>+#REF!+#REF!+#REF!+#REF!</f>
        <v>#REF!</v>
      </c>
      <c r="K1286" s="8">
        <v>44712</v>
      </c>
    </row>
    <row r="1287" spans="1:11" s="42" customFormat="1" ht="42.75" x14ac:dyDescent="0.25">
      <c r="A1287" s="7">
        <v>7</v>
      </c>
      <c r="B1287" s="8">
        <v>44742</v>
      </c>
      <c r="C1287" s="46"/>
      <c r="D1287" s="9" t="s">
        <v>695</v>
      </c>
      <c r="E1287" s="57" t="s">
        <v>404</v>
      </c>
      <c r="F1287" s="9" t="s">
        <v>352</v>
      </c>
      <c r="G1287" s="54">
        <v>186643</v>
      </c>
      <c r="H1287" s="54">
        <v>0</v>
      </c>
      <c r="I1287" s="54">
        <f t="shared" si="67"/>
        <v>186643</v>
      </c>
      <c r="J1287" s="58" t="e">
        <f>+#REF!+#REF!+#REF!+#REF!</f>
        <v>#REF!</v>
      </c>
      <c r="K1287" s="8">
        <v>44742</v>
      </c>
    </row>
    <row r="1288" spans="1:11" s="42" customFormat="1" ht="42.75" x14ac:dyDescent="0.25">
      <c r="A1288" s="7">
        <v>8</v>
      </c>
      <c r="B1288" s="8">
        <v>44742</v>
      </c>
      <c r="C1288" s="46"/>
      <c r="D1288" s="9" t="s">
        <v>695</v>
      </c>
      <c r="E1288" s="57" t="s">
        <v>404</v>
      </c>
      <c r="F1288" s="9" t="s">
        <v>352</v>
      </c>
      <c r="G1288" s="54">
        <v>59666</v>
      </c>
      <c r="H1288" s="54">
        <v>0</v>
      </c>
      <c r="I1288" s="54">
        <f t="shared" si="67"/>
        <v>59666</v>
      </c>
      <c r="J1288" s="58" t="e">
        <f>+#REF!+#REF!+#REF!+#REF!</f>
        <v>#REF!</v>
      </c>
      <c r="K1288" s="8">
        <v>44742</v>
      </c>
    </row>
    <row r="1289" spans="1:11" s="42" customFormat="1" ht="42.75" x14ac:dyDescent="0.25">
      <c r="A1289" s="7">
        <v>9</v>
      </c>
      <c r="B1289" s="8">
        <v>44773</v>
      </c>
      <c r="C1289" s="46"/>
      <c r="D1289" s="9" t="s">
        <v>695</v>
      </c>
      <c r="E1289" s="57" t="s">
        <v>404</v>
      </c>
      <c r="F1289" s="9" t="s">
        <v>352</v>
      </c>
      <c r="G1289" s="54">
        <v>269002</v>
      </c>
      <c r="H1289" s="54">
        <v>0</v>
      </c>
      <c r="I1289" s="54">
        <f t="shared" si="67"/>
        <v>269002</v>
      </c>
      <c r="J1289" s="58" t="e">
        <f>+#REF!+#REF!+#REF!+#REF!</f>
        <v>#REF!</v>
      </c>
      <c r="K1289" s="8">
        <v>44773</v>
      </c>
    </row>
    <row r="1290" spans="1:11" s="42" customFormat="1" ht="42.75" x14ac:dyDescent="0.25">
      <c r="A1290" s="7">
        <v>10</v>
      </c>
      <c r="B1290" s="8">
        <v>44773</v>
      </c>
      <c r="C1290" s="46"/>
      <c r="D1290" s="9" t="s">
        <v>695</v>
      </c>
      <c r="E1290" s="57" t="s">
        <v>404</v>
      </c>
      <c r="F1290" s="9" t="s">
        <v>352</v>
      </c>
      <c r="G1290" s="54">
        <v>47323</v>
      </c>
      <c r="H1290" s="54">
        <v>0</v>
      </c>
      <c r="I1290" s="54">
        <f t="shared" si="67"/>
        <v>47323</v>
      </c>
      <c r="J1290" s="58" t="e">
        <f>+#REF!+#REF!+#REF!+#REF!</f>
        <v>#REF!</v>
      </c>
      <c r="K1290" s="8">
        <v>44773</v>
      </c>
    </row>
    <row r="1291" spans="1:11" s="42" customFormat="1" ht="42.75" x14ac:dyDescent="0.25">
      <c r="A1291" s="7">
        <v>11</v>
      </c>
      <c r="B1291" s="8">
        <v>44804</v>
      </c>
      <c r="C1291" s="46"/>
      <c r="D1291" s="9" t="s">
        <v>695</v>
      </c>
      <c r="E1291" s="57" t="s">
        <v>404</v>
      </c>
      <c r="F1291" s="9" t="s">
        <v>352</v>
      </c>
      <c r="G1291" s="54">
        <v>315190</v>
      </c>
      <c r="H1291" s="54">
        <v>0</v>
      </c>
      <c r="I1291" s="54">
        <f t="shared" si="67"/>
        <v>315190</v>
      </c>
      <c r="J1291" s="58" t="e">
        <f>+#REF!+#REF!+#REF!+#REF!</f>
        <v>#REF!</v>
      </c>
      <c r="K1291" s="8">
        <v>44804</v>
      </c>
    </row>
    <row r="1292" spans="1:11" s="42" customFormat="1" ht="42.75" x14ac:dyDescent="0.25">
      <c r="A1292" s="7">
        <v>12</v>
      </c>
      <c r="B1292" s="8">
        <v>44804</v>
      </c>
      <c r="C1292" s="46"/>
      <c r="D1292" s="9" t="s">
        <v>695</v>
      </c>
      <c r="E1292" s="57" t="s">
        <v>404</v>
      </c>
      <c r="F1292" s="9" t="s">
        <v>352</v>
      </c>
      <c r="G1292" s="54">
        <v>39674</v>
      </c>
      <c r="H1292" s="54">
        <v>0</v>
      </c>
      <c r="I1292" s="54">
        <f t="shared" si="67"/>
        <v>39674</v>
      </c>
      <c r="J1292" s="58" t="e">
        <f>+#REF!+#REF!+#REF!+#REF!</f>
        <v>#REF!</v>
      </c>
      <c r="K1292" s="8">
        <v>44804</v>
      </c>
    </row>
    <row r="1293" spans="1:11" s="42" customFormat="1" ht="42.75" x14ac:dyDescent="0.25">
      <c r="A1293" s="7">
        <v>13</v>
      </c>
      <c r="B1293" s="8">
        <v>44834</v>
      </c>
      <c r="C1293" s="46"/>
      <c r="D1293" s="9" t="s">
        <v>695</v>
      </c>
      <c r="E1293" s="57" t="s">
        <v>404</v>
      </c>
      <c r="F1293" s="9" t="s">
        <v>352</v>
      </c>
      <c r="G1293" s="54">
        <v>369244</v>
      </c>
      <c r="H1293" s="54">
        <v>0</v>
      </c>
      <c r="I1293" s="54">
        <f t="shared" si="67"/>
        <v>369244</v>
      </c>
      <c r="J1293" s="58" t="e">
        <f>+#REF!+#REF!+#REF!+#REF!</f>
        <v>#REF!</v>
      </c>
      <c r="K1293" s="8">
        <v>44834</v>
      </c>
    </row>
    <row r="1294" spans="1:11" s="42" customFormat="1" ht="42.75" x14ac:dyDescent="0.25">
      <c r="A1294" s="7">
        <v>14</v>
      </c>
      <c r="B1294" s="8">
        <v>44834</v>
      </c>
      <c r="C1294" s="46"/>
      <c r="D1294" s="9" t="s">
        <v>695</v>
      </c>
      <c r="E1294" s="57" t="s">
        <v>404</v>
      </c>
      <c r="F1294" s="9" t="s">
        <v>352</v>
      </c>
      <c r="G1294" s="54">
        <v>29790</v>
      </c>
      <c r="H1294" s="54">
        <v>0</v>
      </c>
      <c r="I1294" s="54">
        <f t="shared" si="67"/>
        <v>29790</v>
      </c>
      <c r="J1294" s="58" t="e">
        <f>+#REF!+#REF!+#REF!+#REF!</f>
        <v>#REF!</v>
      </c>
      <c r="K1294" s="8">
        <v>44834</v>
      </c>
    </row>
    <row r="1295" spans="1:11" s="42" customFormat="1" ht="42.75" x14ac:dyDescent="0.25">
      <c r="A1295" s="7">
        <v>15</v>
      </c>
      <c r="B1295" s="8">
        <v>44865</v>
      </c>
      <c r="C1295" s="46"/>
      <c r="D1295" s="9" t="s">
        <v>695</v>
      </c>
      <c r="E1295" s="57" t="s">
        <v>404</v>
      </c>
      <c r="F1295" s="9" t="s">
        <v>352</v>
      </c>
      <c r="G1295" s="54">
        <v>408918</v>
      </c>
      <c r="H1295" s="54">
        <v>0</v>
      </c>
      <c r="I1295" s="54">
        <f t="shared" si="67"/>
        <v>408918</v>
      </c>
      <c r="J1295" s="58" t="e">
        <f>+#REF!+#REF!+#REF!+#REF!</f>
        <v>#REF!</v>
      </c>
      <c r="K1295" s="8">
        <v>44865</v>
      </c>
    </row>
    <row r="1296" spans="1:11" s="42" customFormat="1" ht="42.75" x14ac:dyDescent="0.25">
      <c r="A1296" s="7">
        <v>16</v>
      </c>
      <c r="B1296" s="8">
        <v>44865</v>
      </c>
      <c r="C1296" s="46"/>
      <c r="D1296" s="9" t="s">
        <v>695</v>
      </c>
      <c r="E1296" s="57" t="s">
        <v>404</v>
      </c>
      <c r="F1296" s="9" t="s">
        <v>352</v>
      </c>
      <c r="G1296" s="54">
        <v>8825</v>
      </c>
      <c r="H1296" s="54">
        <v>0</v>
      </c>
      <c r="I1296" s="54">
        <f t="shared" si="67"/>
        <v>8825</v>
      </c>
      <c r="J1296" s="58" t="e">
        <f>+#REF!+#REF!+#REF!+#REF!</f>
        <v>#REF!</v>
      </c>
      <c r="K1296" s="8">
        <v>44865</v>
      </c>
    </row>
    <row r="1297" spans="1:11" s="42" customFormat="1" ht="28.5" x14ac:dyDescent="0.25">
      <c r="A1297" s="7">
        <v>17</v>
      </c>
      <c r="B1297" s="8">
        <v>44865</v>
      </c>
      <c r="C1297" s="46"/>
      <c r="D1297" s="9" t="s">
        <v>695</v>
      </c>
      <c r="E1297" s="57" t="s">
        <v>547</v>
      </c>
      <c r="F1297" s="9" t="s">
        <v>352</v>
      </c>
      <c r="G1297" s="54">
        <v>33424</v>
      </c>
      <c r="H1297" s="54">
        <v>0</v>
      </c>
      <c r="I1297" s="54">
        <f t="shared" si="67"/>
        <v>33424</v>
      </c>
      <c r="J1297" s="58" t="e">
        <f>+#REF!+#REF!+#REF!+#REF!</f>
        <v>#REF!</v>
      </c>
      <c r="K1297" s="8">
        <v>44865</v>
      </c>
    </row>
    <row r="1298" spans="1:11" s="42" customFormat="1" ht="42.75" x14ac:dyDescent="0.25">
      <c r="A1298" s="7">
        <v>18</v>
      </c>
      <c r="B1298" s="8">
        <v>44895</v>
      </c>
      <c r="C1298" s="46"/>
      <c r="D1298" s="9" t="s">
        <v>695</v>
      </c>
      <c r="E1298" s="57" t="s">
        <v>404</v>
      </c>
      <c r="F1298" s="9" t="s">
        <v>352</v>
      </c>
      <c r="G1298" s="54">
        <v>423939</v>
      </c>
      <c r="H1298" s="54">
        <v>0</v>
      </c>
      <c r="I1298" s="54">
        <f t="shared" si="67"/>
        <v>423939</v>
      </c>
      <c r="J1298" s="58" t="e">
        <f>+#REF!+#REF!+#REF!+#REF!</f>
        <v>#REF!</v>
      </c>
      <c r="K1298" s="8">
        <v>44895</v>
      </c>
    </row>
    <row r="1299" spans="1:11" s="42" customFormat="1" ht="28.5" x14ac:dyDescent="0.25">
      <c r="A1299" s="7">
        <v>19</v>
      </c>
      <c r="B1299" s="8">
        <v>44895</v>
      </c>
      <c r="C1299" s="46"/>
      <c r="D1299" s="9" t="s">
        <v>695</v>
      </c>
      <c r="E1299" s="57" t="s">
        <v>547</v>
      </c>
      <c r="F1299" s="9" t="s">
        <v>352</v>
      </c>
      <c r="G1299" s="54">
        <v>52291</v>
      </c>
      <c r="H1299" s="54">
        <v>0</v>
      </c>
      <c r="I1299" s="54">
        <f t="shared" si="67"/>
        <v>52291</v>
      </c>
      <c r="J1299" s="58" t="e">
        <f>+#REF!+#REF!+#REF!+#REF!</f>
        <v>#REF!</v>
      </c>
      <c r="K1299" s="8">
        <v>44895</v>
      </c>
    </row>
    <row r="1300" spans="1:11" s="42" customFormat="1" ht="42.75" x14ac:dyDescent="0.25">
      <c r="A1300" s="7">
        <v>20</v>
      </c>
      <c r="B1300" s="8">
        <v>44926</v>
      </c>
      <c r="C1300" s="46"/>
      <c r="D1300" s="9" t="s">
        <v>695</v>
      </c>
      <c r="E1300" s="57" t="s">
        <v>404</v>
      </c>
      <c r="F1300" s="9" t="s">
        <v>352</v>
      </c>
      <c r="G1300" s="54">
        <v>477312</v>
      </c>
      <c r="H1300" s="54"/>
      <c r="I1300" s="54">
        <f t="shared" si="67"/>
        <v>477312</v>
      </c>
      <c r="J1300" s="58" t="e">
        <f>+#REF!+#REF!+#REF!+#REF!</f>
        <v>#REF!</v>
      </c>
      <c r="K1300" s="8">
        <v>44926</v>
      </c>
    </row>
    <row r="1301" spans="1:11" s="42" customFormat="1" ht="28.5" x14ac:dyDescent="0.25">
      <c r="A1301" s="7">
        <v>21</v>
      </c>
      <c r="B1301" s="8">
        <v>44926</v>
      </c>
      <c r="C1301" s="46"/>
      <c r="D1301" s="9" t="s">
        <v>695</v>
      </c>
      <c r="E1301" s="57" t="s">
        <v>547</v>
      </c>
      <c r="F1301" s="9" t="s">
        <v>352</v>
      </c>
      <c r="G1301" s="54">
        <v>60481</v>
      </c>
      <c r="H1301" s="54">
        <v>0</v>
      </c>
      <c r="I1301" s="54">
        <f t="shared" si="67"/>
        <v>60481</v>
      </c>
      <c r="J1301" s="58" t="e">
        <f>+#REF!+#REF!+#REF!+#REF!</f>
        <v>#REF!</v>
      </c>
      <c r="K1301" s="8">
        <v>44926</v>
      </c>
    </row>
    <row r="1302" spans="1:11" s="42" customFormat="1" ht="42.75" x14ac:dyDescent="0.25">
      <c r="A1302" s="7">
        <v>22</v>
      </c>
      <c r="B1302" s="8">
        <v>44957</v>
      </c>
      <c r="C1302" s="46"/>
      <c r="D1302" s="9" t="s">
        <v>695</v>
      </c>
      <c r="E1302" s="57" t="s">
        <v>404</v>
      </c>
      <c r="F1302" s="9" t="s">
        <v>352</v>
      </c>
      <c r="G1302" s="54">
        <v>474077</v>
      </c>
      <c r="H1302" s="54"/>
      <c r="I1302" s="54">
        <f t="shared" si="67"/>
        <v>474077</v>
      </c>
      <c r="J1302" s="58" t="e">
        <f>+#REF!+#REF!+#REF!+#REF!</f>
        <v>#REF!</v>
      </c>
      <c r="K1302" s="8">
        <v>44957</v>
      </c>
    </row>
    <row r="1303" spans="1:11" s="42" customFormat="1" ht="28.5" x14ac:dyDescent="0.25">
      <c r="A1303" s="7">
        <v>23</v>
      </c>
      <c r="B1303" s="8">
        <v>44957</v>
      </c>
      <c r="C1303" s="46"/>
      <c r="D1303" s="9" t="s">
        <v>695</v>
      </c>
      <c r="E1303" s="57" t="s">
        <v>547</v>
      </c>
      <c r="F1303" s="9" t="s">
        <v>352</v>
      </c>
      <c r="G1303" s="54">
        <v>64171</v>
      </c>
      <c r="H1303" s="54"/>
      <c r="I1303" s="54">
        <f t="shared" si="67"/>
        <v>64171</v>
      </c>
      <c r="J1303" s="58" t="e">
        <f>+#REF!+#REF!+#REF!+#REF!</f>
        <v>#REF!</v>
      </c>
      <c r="K1303" s="8">
        <v>44957</v>
      </c>
    </row>
    <row r="1304" spans="1:11" s="42" customFormat="1" ht="42.75" x14ac:dyDescent="0.25">
      <c r="A1304" s="7">
        <v>24</v>
      </c>
      <c r="B1304" s="8">
        <v>44985</v>
      </c>
      <c r="C1304" s="46"/>
      <c r="D1304" s="9" t="s">
        <v>695</v>
      </c>
      <c r="E1304" s="57" t="s">
        <v>404</v>
      </c>
      <c r="F1304" s="9" t="s">
        <v>352</v>
      </c>
      <c r="G1304" s="54">
        <v>455561</v>
      </c>
      <c r="H1304" s="54"/>
      <c r="I1304" s="54">
        <f t="shared" si="67"/>
        <v>455561</v>
      </c>
      <c r="J1304" s="58" t="e">
        <f>+#REF!+#REF!+#REF!+#REF!</f>
        <v>#REF!</v>
      </c>
      <c r="K1304" s="8">
        <v>44985</v>
      </c>
    </row>
    <row r="1305" spans="1:11" s="42" customFormat="1" ht="28.5" x14ac:dyDescent="0.25">
      <c r="A1305" s="7">
        <v>25</v>
      </c>
      <c r="B1305" s="8">
        <v>44985</v>
      </c>
      <c r="C1305" s="46"/>
      <c r="D1305" s="9" t="s">
        <v>695</v>
      </c>
      <c r="E1305" s="57" t="s">
        <v>547</v>
      </c>
      <c r="F1305" s="9" t="s">
        <v>352</v>
      </c>
      <c r="G1305" s="54">
        <v>64612</v>
      </c>
      <c r="H1305" s="54">
        <v>0</v>
      </c>
      <c r="I1305" s="54">
        <f t="shared" si="67"/>
        <v>64612</v>
      </c>
      <c r="J1305" s="58" t="e">
        <f>+#REF!+#REF!+#REF!+#REF!</f>
        <v>#REF!</v>
      </c>
      <c r="K1305" s="8">
        <v>44985</v>
      </c>
    </row>
    <row r="1306" spans="1:11" s="42" customFormat="1" ht="42.75" x14ac:dyDescent="0.25">
      <c r="A1306" s="7">
        <v>26</v>
      </c>
      <c r="B1306" s="8">
        <v>45016</v>
      </c>
      <c r="C1306" s="46"/>
      <c r="D1306" s="9" t="s">
        <v>695</v>
      </c>
      <c r="E1306" s="57" t="s">
        <v>404</v>
      </c>
      <c r="F1306" s="9" t="s">
        <v>352</v>
      </c>
      <c r="G1306" s="54">
        <v>531958</v>
      </c>
      <c r="H1306" s="54">
        <v>0</v>
      </c>
      <c r="I1306" s="54">
        <f t="shared" si="67"/>
        <v>531958</v>
      </c>
      <c r="J1306" s="58" t="e">
        <f>+#REF!+#REF!+#REF!+#REF!</f>
        <v>#REF!</v>
      </c>
      <c r="K1306" s="8">
        <v>45016</v>
      </c>
    </row>
    <row r="1307" spans="1:11" s="42" customFormat="1" ht="28.5" x14ac:dyDescent="0.25">
      <c r="A1307" s="7">
        <v>27</v>
      </c>
      <c r="B1307" s="8">
        <v>45016</v>
      </c>
      <c r="C1307" s="46"/>
      <c r="D1307" s="9" t="s">
        <v>695</v>
      </c>
      <c r="E1307" s="57" t="s">
        <v>547</v>
      </c>
      <c r="F1307" s="9" t="s">
        <v>352</v>
      </c>
      <c r="G1307" s="54">
        <v>79621</v>
      </c>
      <c r="H1307" s="54">
        <v>0</v>
      </c>
      <c r="I1307" s="54">
        <f t="shared" si="67"/>
        <v>79621</v>
      </c>
      <c r="J1307" s="58" t="e">
        <f>+#REF!+#REF!+#REF!+#REF!</f>
        <v>#REF!</v>
      </c>
      <c r="K1307" s="8">
        <v>45016</v>
      </c>
    </row>
    <row r="1308" spans="1:11" s="42" customFormat="1" ht="42.75" x14ac:dyDescent="0.25">
      <c r="A1308" s="7">
        <v>28</v>
      </c>
      <c r="B1308" s="8">
        <v>45046</v>
      </c>
      <c r="C1308" s="46"/>
      <c r="D1308" s="9" t="s">
        <v>695</v>
      </c>
      <c r="E1308" s="57" t="s">
        <v>404</v>
      </c>
      <c r="F1308" s="9" t="s">
        <v>352</v>
      </c>
      <c r="G1308" s="54">
        <v>484177</v>
      </c>
      <c r="H1308" s="54">
        <v>0</v>
      </c>
      <c r="I1308" s="54">
        <f t="shared" si="67"/>
        <v>484177</v>
      </c>
      <c r="J1308" s="58" t="e">
        <f>+#REF!+#REF!+#REF!+#REF!</f>
        <v>#REF!</v>
      </c>
      <c r="K1308" s="8">
        <v>45046</v>
      </c>
    </row>
    <row r="1309" spans="1:11" s="42" customFormat="1" ht="28.5" x14ac:dyDescent="0.25">
      <c r="A1309" s="7">
        <v>29</v>
      </c>
      <c r="B1309" s="8">
        <v>45046</v>
      </c>
      <c r="C1309" s="46"/>
      <c r="D1309" s="9" t="s">
        <v>695</v>
      </c>
      <c r="E1309" s="57" t="s">
        <v>547</v>
      </c>
      <c r="F1309" s="9" t="s">
        <v>352</v>
      </c>
      <c r="G1309" s="54">
        <v>94939</v>
      </c>
      <c r="H1309" s="54"/>
      <c r="I1309" s="54">
        <f t="shared" si="67"/>
        <v>94939</v>
      </c>
      <c r="J1309" s="58" t="e">
        <f>+#REF!+#REF!+#REF!+#REF!</f>
        <v>#REF!</v>
      </c>
      <c r="K1309" s="8">
        <v>45046</v>
      </c>
    </row>
    <row r="1310" spans="1:11" s="42" customFormat="1" ht="28.5" x14ac:dyDescent="0.25">
      <c r="A1310" s="7">
        <v>30</v>
      </c>
      <c r="B1310" s="8">
        <v>44681</v>
      </c>
      <c r="C1310" s="46"/>
      <c r="D1310" s="9" t="s">
        <v>695</v>
      </c>
      <c r="E1310" s="57" t="s">
        <v>1120</v>
      </c>
      <c r="F1310" s="9" t="s">
        <v>352</v>
      </c>
      <c r="G1310" s="54">
        <v>43772</v>
      </c>
      <c r="H1310" s="54">
        <v>0</v>
      </c>
      <c r="I1310" s="54">
        <f t="shared" si="67"/>
        <v>43772</v>
      </c>
      <c r="J1310" s="58" t="e">
        <f>+#REF!+#REF!+#REF!+#REF!</f>
        <v>#REF!</v>
      </c>
      <c r="K1310" s="8">
        <v>44681</v>
      </c>
    </row>
    <row r="1311" spans="1:11" s="42" customFormat="1" ht="28.5" x14ac:dyDescent="0.25">
      <c r="A1311" s="7">
        <v>31</v>
      </c>
      <c r="B1311" s="8">
        <v>44681</v>
      </c>
      <c r="C1311" s="46"/>
      <c r="D1311" s="9" t="s">
        <v>695</v>
      </c>
      <c r="E1311" s="57" t="s">
        <v>1121</v>
      </c>
      <c r="F1311" s="9" t="s">
        <v>352</v>
      </c>
      <c r="G1311" s="54">
        <v>62752</v>
      </c>
      <c r="H1311" s="54">
        <v>0</v>
      </c>
      <c r="I1311" s="54">
        <f t="shared" si="67"/>
        <v>62752</v>
      </c>
      <c r="J1311" s="58" t="e">
        <f>+#REF!+#REF!+#REF!+#REF!</f>
        <v>#REF!</v>
      </c>
      <c r="K1311" s="8">
        <v>44681</v>
      </c>
    </row>
    <row r="1312" spans="1:11" s="42" customFormat="1" ht="28.5" x14ac:dyDescent="0.25">
      <c r="A1312" s="7">
        <v>32</v>
      </c>
      <c r="B1312" s="8">
        <v>44712</v>
      </c>
      <c r="C1312" s="46"/>
      <c r="D1312" s="9" t="s">
        <v>695</v>
      </c>
      <c r="E1312" s="57" t="s">
        <v>1120</v>
      </c>
      <c r="F1312" s="9" t="s">
        <v>352</v>
      </c>
      <c r="G1312" s="54">
        <v>45198</v>
      </c>
      <c r="H1312" s="54">
        <v>0</v>
      </c>
      <c r="I1312" s="54">
        <f t="shared" si="67"/>
        <v>45198</v>
      </c>
      <c r="J1312" s="58" t="e">
        <f>+#REF!+#REF!+#REF!+#REF!</f>
        <v>#REF!</v>
      </c>
      <c r="K1312" s="8">
        <v>44712</v>
      </c>
    </row>
    <row r="1313" spans="1:11" s="42" customFormat="1" ht="28.5" x14ac:dyDescent="0.25">
      <c r="A1313" s="7">
        <v>33</v>
      </c>
      <c r="B1313" s="8">
        <v>44712</v>
      </c>
      <c r="C1313" s="46"/>
      <c r="D1313" s="9" t="s">
        <v>695</v>
      </c>
      <c r="E1313" s="57" t="s">
        <v>1121</v>
      </c>
      <c r="F1313" s="9" t="s">
        <v>352</v>
      </c>
      <c r="G1313" s="54">
        <v>60584</v>
      </c>
      <c r="H1313" s="54">
        <v>0</v>
      </c>
      <c r="I1313" s="54">
        <f t="shared" si="67"/>
        <v>60584</v>
      </c>
      <c r="J1313" s="58" t="e">
        <f>+#REF!+#REF!+#REF!+#REF!</f>
        <v>#REF!</v>
      </c>
      <c r="K1313" s="8">
        <v>44712</v>
      </c>
    </row>
    <row r="1314" spans="1:11" s="42" customFormat="1" ht="28.5" x14ac:dyDescent="0.25">
      <c r="A1314" s="7">
        <v>34</v>
      </c>
      <c r="B1314" s="8">
        <v>44742</v>
      </c>
      <c r="C1314" s="46"/>
      <c r="D1314" s="9" t="s">
        <v>695</v>
      </c>
      <c r="E1314" s="57" t="s">
        <v>1120</v>
      </c>
      <c r="F1314" s="9" t="s">
        <v>352</v>
      </c>
      <c r="G1314" s="54">
        <v>47678</v>
      </c>
      <c r="H1314" s="54">
        <v>0</v>
      </c>
      <c r="I1314" s="54">
        <f t="shared" si="67"/>
        <v>47678</v>
      </c>
      <c r="J1314" s="58" t="e">
        <f>+#REF!+#REF!+#REF!+#REF!</f>
        <v>#REF!</v>
      </c>
      <c r="K1314" s="8">
        <v>44742</v>
      </c>
    </row>
    <row r="1315" spans="1:11" s="42" customFormat="1" ht="28.5" x14ac:dyDescent="0.25">
      <c r="A1315" s="7">
        <v>35</v>
      </c>
      <c r="B1315" s="8">
        <v>44742</v>
      </c>
      <c r="C1315" s="46"/>
      <c r="D1315" s="9" t="s">
        <v>695</v>
      </c>
      <c r="E1315" s="57" t="s">
        <v>1121</v>
      </c>
      <c r="F1315" s="9" t="s">
        <v>352</v>
      </c>
      <c r="G1315" s="54">
        <v>61097</v>
      </c>
      <c r="H1315" s="54">
        <v>0</v>
      </c>
      <c r="I1315" s="54">
        <f t="shared" si="67"/>
        <v>61097</v>
      </c>
      <c r="J1315" s="58" t="e">
        <f>+#REF!+#REF!+#REF!+#REF!</f>
        <v>#REF!</v>
      </c>
      <c r="K1315" s="8">
        <v>44742</v>
      </c>
    </row>
    <row r="1316" spans="1:11" s="42" customFormat="1" ht="28.5" x14ac:dyDescent="0.25">
      <c r="A1316" s="7">
        <v>36</v>
      </c>
      <c r="B1316" s="8">
        <v>44773</v>
      </c>
      <c r="C1316" s="46"/>
      <c r="D1316" s="9" t="s">
        <v>695</v>
      </c>
      <c r="E1316" s="57" t="s">
        <v>1121</v>
      </c>
      <c r="F1316" s="9" t="s">
        <v>352</v>
      </c>
      <c r="G1316" s="54">
        <v>61768</v>
      </c>
      <c r="H1316" s="54">
        <v>0</v>
      </c>
      <c r="I1316" s="54">
        <f t="shared" si="67"/>
        <v>61768</v>
      </c>
      <c r="J1316" s="58" t="e">
        <f>+#REF!+#REF!+#REF!+#REF!</f>
        <v>#REF!</v>
      </c>
      <c r="K1316" s="8">
        <v>44773</v>
      </c>
    </row>
    <row r="1317" spans="1:11" s="42" customFormat="1" ht="28.5" x14ac:dyDescent="0.25">
      <c r="A1317" s="7">
        <v>37</v>
      </c>
      <c r="B1317" s="8">
        <v>44773</v>
      </c>
      <c r="C1317" s="46"/>
      <c r="D1317" s="9" t="s">
        <v>695</v>
      </c>
      <c r="E1317" s="57" t="s">
        <v>1120</v>
      </c>
      <c r="F1317" s="9" t="s">
        <v>352</v>
      </c>
      <c r="G1317" s="54">
        <v>50704</v>
      </c>
      <c r="H1317" s="54">
        <v>0</v>
      </c>
      <c r="I1317" s="54">
        <f t="shared" si="67"/>
        <v>50704</v>
      </c>
      <c r="J1317" s="58" t="e">
        <f>+#REF!+#REF!+#REF!+#REF!</f>
        <v>#REF!</v>
      </c>
      <c r="K1317" s="8">
        <v>44773</v>
      </c>
    </row>
    <row r="1318" spans="1:11" s="42" customFormat="1" ht="28.5" x14ac:dyDescent="0.25">
      <c r="A1318" s="7">
        <v>38</v>
      </c>
      <c r="B1318" s="8">
        <v>44804</v>
      </c>
      <c r="C1318" s="46"/>
      <c r="D1318" s="9" t="s">
        <v>695</v>
      </c>
      <c r="E1318" s="57" t="s">
        <v>1121</v>
      </c>
      <c r="F1318" s="9" t="s">
        <v>352</v>
      </c>
      <c r="G1318" s="54">
        <v>60483</v>
      </c>
      <c r="H1318" s="54">
        <v>0</v>
      </c>
      <c r="I1318" s="54">
        <f t="shared" si="67"/>
        <v>60483</v>
      </c>
      <c r="J1318" s="58" t="e">
        <f>+#REF!+#REF!+#REF!+#REF!</f>
        <v>#REF!</v>
      </c>
      <c r="K1318" s="8">
        <v>44804</v>
      </c>
    </row>
    <row r="1319" spans="1:11" s="42" customFormat="1" ht="28.5" x14ac:dyDescent="0.25">
      <c r="A1319" s="7">
        <v>39</v>
      </c>
      <c r="B1319" s="8">
        <v>44804</v>
      </c>
      <c r="C1319" s="46"/>
      <c r="D1319" s="9" t="s">
        <v>695</v>
      </c>
      <c r="E1319" s="57" t="s">
        <v>1120</v>
      </c>
      <c r="F1319" s="9" t="s">
        <v>352</v>
      </c>
      <c r="G1319" s="54">
        <v>52408</v>
      </c>
      <c r="H1319" s="54">
        <v>0</v>
      </c>
      <c r="I1319" s="54">
        <f t="shared" si="67"/>
        <v>52408</v>
      </c>
      <c r="J1319" s="58" t="e">
        <f>+#REF!+#REF!+#REF!+#REF!</f>
        <v>#REF!</v>
      </c>
      <c r="K1319" s="8">
        <v>44804</v>
      </c>
    </row>
    <row r="1320" spans="1:11" s="42" customFormat="1" ht="28.5" x14ac:dyDescent="0.25">
      <c r="A1320" s="7">
        <v>40</v>
      </c>
      <c r="B1320" s="8">
        <v>44834</v>
      </c>
      <c r="C1320" s="46"/>
      <c r="D1320" s="9" t="s">
        <v>695</v>
      </c>
      <c r="E1320" s="57" t="s">
        <v>1120</v>
      </c>
      <c r="F1320" s="9" t="s">
        <v>352</v>
      </c>
      <c r="G1320" s="54">
        <v>52033</v>
      </c>
      <c r="H1320" s="54">
        <v>0</v>
      </c>
      <c r="I1320" s="54">
        <f t="shared" si="67"/>
        <v>52033</v>
      </c>
      <c r="J1320" s="58" t="e">
        <f>+#REF!+#REF!+#REF!+#REF!</f>
        <v>#REF!</v>
      </c>
      <c r="K1320" s="8">
        <v>44834</v>
      </c>
    </row>
    <row r="1321" spans="1:11" s="42" customFormat="1" ht="28.5" x14ac:dyDescent="0.25">
      <c r="A1321" s="7">
        <v>41</v>
      </c>
      <c r="B1321" s="8">
        <v>44834</v>
      </c>
      <c r="C1321" s="46"/>
      <c r="D1321" s="9" t="s">
        <v>695</v>
      </c>
      <c r="E1321" s="57" t="s">
        <v>1121</v>
      </c>
      <c r="F1321" s="9" t="s">
        <v>352</v>
      </c>
      <c r="G1321" s="54">
        <v>56893</v>
      </c>
      <c r="H1321" s="54">
        <v>0</v>
      </c>
      <c r="I1321" s="54">
        <f t="shared" si="67"/>
        <v>56893</v>
      </c>
      <c r="J1321" s="58" t="e">
        <f>+#REF!+#REF!+#REF!+#REF!</f>
        <v>#REF!</v>
      </c>
      <c r="K1321" s="8">
        <v>44834</v>
      </c>
    </row>
    <row r="1322" spans="1:11" s="42" customFormat="1" ht="28.5" x14ac:dyDescent="0.25">
      <c r="A1322" s="7">
        <v>42</v>
      </c>
      <c r="B1322" s="8">
        <v>44865</v>
      </c>
      <c r="C1322" s="46"/>
      <c r="D1322" s="9" t="s">
        <v>695</v>
      </c>
      <c r="E1322" s="57" t="s">
        <v>1120</v>
      </c>
      <c r="F1322" s="9" t="s">
        <v>352</v>
      </c>
      <c r="G1322" s="54">
        <v>56352</v>
      </c>
      <c r="H1322" s="54">
        <v>0</v>
      </c>
      <c r="I1322" s="54">
        <f t="shared" si="67"/>
        <v>56352</v>
      </c>
      <c r="J1322" s="58" t="e">
        <f>+#REF!+#REF!+#REF!+#REF!</f>
        <v>#REF!</v>
      </c>
      <c r="K1322" s="8">
        <v>44865</v>
      </c>
    </row>
    <row r="1323" spans="1:11" s="42" customFormat="1" ht="28.5" x14ac:dyDescent="0.25">
      <c r="A1323" s="7">
        <v>43</v>
      </c>
      <c r="B1323" s="8">
        <v>44865</v>
      </c>
      <c r="C1323" s="46"/>
      <c r="D1323" s="9" t="s">
        <v>695</v>
      </c>
      <c r="E1323" s="57" t="s">
        <v>1121</v>
      </c>
      <c r="F1323" s="9" t="s">
        <v>352</v>
      </c>
      <c r="G1323" s="54">
        <v>57968</v>
      </c>
      <c r="H1323" s="54">
        <v>0</v>
      </c>
      <c r="I1323" s="54">
        <f t="shared" si="67"/>
        <v>57968</v>
      </c>
      <c r="J1323" s="58" t="e">
        <f>+#REF!+#REF!+#REF!+#REF!</f>
        <v>#REF!</v>
      </c>
      <c r="K1323" s="8">
        <v>44865</v>
      </c>
    </row>
    <row r="1324" spans="1:11" s="42" customFormat="1" ht="28.5" x14ac:dyDescent="0.25">
      <c r="A1324" s="7">
        <v>44</v>
      </c>
      <c r="B1324" s="8">
        <v>44895</v>
      </c>
      <c r="C1324" s="46"/>
      <c r="D1324" s="9" t="s">
        <v>695</v>
      </c>
      <c r="E1324" s="57" t="s">
        <v>1121</v>
      </c>
      <c r="F1324" s="9" t="s">
        <v>352</v>
      </c>
      <c r="G1324" s="54">
        <v>53203</v>
      </c>
      <c r="H1324" s="54">
        <v>0</v>
      </c>
      <c r="I1324" s="54">
        <f t="shared" si="67"/>
        <v>53203</v>
      </c>
      <c r="J1324" s="58" t="e">
        <f>+#REF!+#REF!+#REF!+#REF!</f>
        <v>#REF!</v>
      </c>
      <c r="K1324" s="8">
        <v>44895</v>
      </c>
    </row>
    <row r="1325" spans="1:11" s="42" customFormat="1" ht="28.5" x14ac:dyDescent="0.25">
      <c r="A1325" s="7">
        <v>45</v>
      </c>
      <c r="B1325" s="8">
        <v>44895</v>
      </c>
      <c r="C1325" s="46"/>
      <c r="D1325" s="9" t="s">
        <v>695</v>
      </c>
      <c r="E1325" s="57" t="s">
        <v>1120</v>
      </c>
      <c r="F1325" s="9" t="s">
        <v>352</v>
      </c>
      <c r="G1325" s="54">
        <v>54750</v>
      </c>
      <c r="H1325" s="54">
        <v>0</v>
      </c>
      <c r="I1325" s="54">
        <f t="shared" si="67"/>
        <v>54750</v>
      </c>
      <c r="J1325" s="58" t="e">
        <f>+#REF!+#REF!+#REF!+#REF!</f>
        <v>#REF!</v>
      </c>
      <c r="K1325" s="8">
        <v>44895</v>
      </c>
    </row>
    <row r="1326" spans="1:11" s="42" customFormat="1" ht="28.5" x14ac:dyDescent="0.25">
      <c r="A1326" s="7">
        <v>46</v>
      </c>
      <c r="B1326" s="8">
        <v>44926</v>
      </c>
      <c r="C1326" s="46"/>
      <c r="D1326" s="9" t="s">
        <v>695</v>
      </c>
      <c r="E1326" s="57" t="s">
        <v>1120</v>
      </c>
      <c r="F1326" s="9" t="s">
        <v>352</v>
      </c>
      <c r="G1326" s="54">
        <v>57104</v>
      </c>
      <c r="H1326" s="54">
        <v>0</v>
      </c>
      <c r="I1326" s="54">
        <f t="shared" si="67"/>
        <v>57104</v>
      </c>
      <c r="J1326" s="58" t="e">
        <f>+#REF!+#REF!+#REF!+#REF!</f>
        <v>#REF!</v>
      </c>
      <c r="K1326" s="8">
        <v>44926</v>
      </c>
    </row>
    <row r="1327" spans="1:11" s="42" customFormat="1" ht="28.5" x14ac:dyDescent="0.25">
      <c r="A1327" s="7">
        <v>47</v>
      </c>
      <c r="B1327" s="8">
        <v>44926</v>
      </c>
      <c r="C1327" s="46"/>
      <c r="D1327" s="9" t="s">
        <v>695</v>
      </c>
      <c r="E1327" s="57" t="s">
        <v>1121</v>
      </c>
      <c r="F1327" s="9" t="s">
        <v>352</v>
      </c>
      <c r="G1327" s="54">
        <v>51656</v>
      </c>
      <c r="H1327" s="54">
        <v>0</v>
      </c>
      <c r="I1327" s="54">
        <f t="shared" si="67"/>
        <v>51656</v>
      </c>
      <c r="J1327" s="58" t="e">
        <f>+#REF!+#REF!+#REF!+#REF!</f>
        <v>#REF!</v>
      </c>
      <c r="K1327" s="8">
        <v>44926</v>
      </c>
    </row>
    <row r="1328" spans="1:11" s="42" customFormat="1" ht="28.5" x14ac:dyDescent="0.25">
      <c r="A1328" s="7">
        <v>48</v>
      </c>
      <c r="B1328" s="8">
        <v>44957</v>
      </c>
      <c r="C1328" s="46"/>
      <c r="D1328" s="9" t="s">
        <v>695</v>
      </c>
      <c r="E1328" s="57" t="s">
        <v>1120</v>
      </c>
      <c r="F1328" s="9" t="s">
        <v>352</v>
      </c>
      <c r="G1328" s="54">
        <v>56685</v>
      </c>
      <c r="H1328" s="54">
        <v>0</v>
      </c>
      <c r="I1328" s="54">
        <f t="shared" si="67"/>
        <v>56685</v>
      </c>
      <c r="J1328" s="58" t="e">
        <f>+#REF!+#REF!+#REF!+#REF!</f>
        <v>#REF!</v>
      </c>
      <c r="K1328" s="8">
        <v>44957</v>
      </c>
    </row>
    <row r="1329" spans="1:11" s="42" customFormat="1" ht="28.5" x14ac:dyDescent="0.25">
      <c r="A1329" s="7">
        <v>49</v>
      </c>
      <c r="B1329" s="8">
        <v>44957</v>
      </c>
      <c r="C1329" s="46"/>
      <c r="D1329" s="9" t="s">
        <v>695</v>
      </c>
      <c r="E1329" s="57" t="s">
        <v>1121</v>
      </c>
      <c r="F1329" s="9" t="s">
        <v>352</v>
      </c>
      <c r="G1329" s="54">
        <v>47427</v>
      </c>
      <c r="H1329" s="54">
        <v>0</v>
      </c>
      <c r="I1329" s="54">
        <f t="shared" si="67"/>
        <v>47427</v>
      </c>
      <c r="J1329" s="58" t="e">
        <f>+#REF!+#REF!+#REF!+#REF!</f>
        <v>#REF!</v>
      </c>
      <c r="K1329" s="8">
        <v>44957</v>
      </c>
    </row>
    <row r="1330" spans="1:11" s="42" customFormat="1" ht="28.5" x14ac:dyDescent="0.25">
      <c r="A1330" s="7">
        <v>50</v>
      </c>
      <c r="B1330" s="8">
        <v>44985</v>
      </c>
      <c r="C1330" s="46"/>
      <c r="D1330" s="9" t="s">
        <v>695</v>
      </c>
      <c r="E1330" s="57" t="s">
        <v>1120</v>
      </c>
      <c r="F1330" s="9" t="s">
        <v>352</v>
      </c>
      <c r="G1330" s="54">
        <v>51270</v>
      </c>
      <c r="H1330" s="54">
        <v>0</v>
      </c>
      <c r="I1330" s="54">
        <f t="shared" si="67"/>
        <v>51270</v>
      </c>
      <c r="J1330" s="58" t="e">
        <f>+#REF!+#REF!+#REF!+#REF!</f>
        <v>#REF!</v>
      </c>
      <c r="K1330" s="8">
        <v>44985</v>
      </c>
    </row>
    <row r="1331" spans="1:11" s="42" customFormat="1" ht="28.5" x14ac:dyDescent="0.25">
      <c r="A1331" s="7">
        <v>51</v>
      </c>
      <c r="B1331" s="8">
        <v>44985</v>
      </c>
      <c r="C1331" s="46"/>
      <c r="D1331" s="9" t="s">
        <v>695</v>
      </c>
      <c r="E1331" s="57" t="s">
        <v>1121</v>
      </c>
      <c r="F1331" s="9" t="s">
        <v>352</v>
      </c>
      <c r="G1331" s="54">
        <v>39441</v>
      </c>
      <c r="H1331" s="54">
        <v>0</v>
      </c>
      <c r="I1331" s="54">
        <f t="shared" si="67"/>
        <v>39441</v>
      </c>
      <c r="J1331" s="58" t="e">
        <f>+#REF!+#REF!+#REF!+#REF!</f>
        <v>#REF!</v>
      </c>
      <c r="K1331" s="8">
        <v>44985</v>
      </c>
    </row>
    <row r="1332" spans="1:11" s="42" customFormat="1" ht="28.5" x14ac:dyDescent="0.25">
      <c r="A1332" s="7">
        <v>52</v>
      </c>
      <c r="B1332" s="8">
        <v>45016</v>
      </c>
      <c r="C1332" s="46"/>
      <c r="D1332" s="9" t="s">
        <v>695</v>
      </c>
      <c r="E1332" s="57" t="s">
        <v>1120</v>
      </c>
      <c r="F1332" s="9" t="s">
        <v>352</v>
      </c>
      <c r="G1332" s="54">
        <v>56749</v>
      </c>
      <c r="H1332" s="54">
        <v>0</v>
      </c>
      <c r="I1332" s="54">
        <f t="shared" si="67"/>
        <v>56749</v>
      </c>
      <c r="J1332" s="58" t="e">
        <f>+#REF!+#REF!+#REF!+#REF!</f>
        <v>#REF!</v>
      </c>
      <c r="K1332" s="8">
        <v>45016</v>
      </c>
    </row>
    <row r="1333" spans="1:11" s="42" customFormat="1" ht="28.5" x14ac:dyDescent="0.25">
      <c r="A1333" s="7">
        <v>53</v>
      </c>
      <c r="B1333" s="8">
        <v>45016</v>
      </c>
      <c r="C1333" s="46"/>
      <c r="D1333" s="9" t="s">
        <v>695</v>
      </c>
      <c r="E1333" s="57" t="s">
        <v>1121</v>
      </c>
      <c r="F1333" s="9" t="s">
        <v>352</v>
      </c>
      <c r="G1333" s="54">
        <v>40522</v>
      </c>
      <c r="H1333" s="54">
        <v>0</v>
      </c>
      <c r="I1333" s="54">
        <f t="shared" si="67"/>
        <v>40522</v>
      </c>
      <c r="J1333" s="58" t="e">
        <f>+#REF!+#REF!+#REF!+#REF!</f>
        <v>#REF!</v>
      </c>
      <c r="K1333" s="8">
        <v>45016</v>
      </c>
    </row>
    <row r="1334" spans="1:11" s="42" customFormat="1" ht="28.5" x14ac:dyDescent="0.25">
      <c r="A1334" s="7">
        <v>54</v>
      </c>
      <c r="B1334" s="8">
        <v>45046</v>
      </c>
      <c r="C1334" s="46"/>
      <c r="D1334" s="9" t="s">
        <v>695</v>
      </c>
      <c r="E1334" s="57" t="s">
        <v>1120</v>
      </c>
      <c r="F1334" s="9" t="s">
        <v>352</v>
      </c>
      <c r="G1334" s="54">
        <v>54955</v>
      </c>
      <c r="H1334" s="54">
        <v>0</v>
      </c>
      <c r="I1334" s="54">
        <f t="shared" si="67"/>
        <v>54955</v>
      </c>
      <c r="J1334" s="58" t="e">
        <f>+#REF!+#REF!+#REF!+#REF!</f>
        <v>#REF!</v>
      </c>
      <c r="K1334" s="8">
        <v>45046</v>
      </c>
    </row>
    <row r="1335" spans="1:11" s="42" customFormat="1" ht="28.5" x14ac:dyDescent="0.25">
      <c r="A1335" s="7">
        <v>55</v>
      </c>
      <c r="B1335" s="8">
        <v>45046</v>
      </c>
      <c r="C1335" s="46"/>
      <c r="D1335" s="9" t="s">
        <v>695</v>
      </c>
      <c r="E1335" s="57" t="s">
        <v>1121</v>
      </c>
      <c r="F1335" s="9" t="s">
        <v>352</v>
      </c>
      <c r="G1335" s="54">
        <v>35844</v>
      </c>
      <c r="H1335" s="54">
        <v>0</v>
      </c>
      <c r="I1335" s="54">
        <f t="shared" si="67"/>
        <v>35844</v>
      </c>
      <c r="J1335" s="58" t="e">
        <f>+#REF!+#REF!+#REF!+#REF!</f>
        <v>#REF!</v>
      </c>
      <c r="K1335" s="8">
        <v>45046</v>
      </c>
    </row>
    <row r="1336" spans="1:11" s="42" customFormat="1" ht="42.75" x14ac:dyDescent="0.25">
      <c r="A1336" s="7">
        <v>56</v>
      </c>
      <c r="B1336" s="8">
        <v>45077</v>
      </c>
      <c r="C1336" s="46"/>
      <c r="D1336" s="9" t="s">
        <v>695</v>
      </c>
      <c r="E1336" s="57" t="s">
        <v>404</v>
      </c>
      <c r="F1336" s="9" t="s">
        <v>352</v>
      </c>
      <c r="G1336" s="54">
        <v>498398</v>
      </c>
      <c r="H1336" s="54">
        <v>0</v>
      </c>
      <c r="I1336" s="54">
        <f t="shared" si="67"/>
        <v>498398</v>
      </c>
      <c r="J1336" s="58" t="e">
        <f>+#REF!+#REF!+#REF!+#REF!</f>
        <v>#REF!</v>
      </c>
      <c r="K1336" s="8">
        <v>45077</v>
      </c>
    </row>
    <row r="1337" spans="1:11" s="42" customFormat="1" ht="28.5" x14ac:dyDescent="0.25">
      <c r="A1337" s="7">
        <v>57</v>
      </c>
      <c r="B1337" s="8">
        <v>45077</v>
      </c>
      <c r="C1337" s="46"/>
      <c r="D1337" s="9" t="s">
        <v>695</v>
      </c>
      <c r="E1337" s="57" t="s">
        <v>547</v>
      </c>
      <c r="F1337" s="9" t="s">
        <v>352</v>
      </c>
      <c r="G1337" s="54">
        <f>106097+1211</f>
        <v>107308</v>
      </c>
      <c r="H1337" s="54">
        <v>0</v>
      </c>
      <c r="I1337" s="54">
        <f t="shared" si="67"/>
        <v>107308</v>
      </c>
      <c r="J1337" s="58" t="e">
        <f>+#REF!+#REF!+#REF!+#REF!</f>
        <v>#REF!</v>
      </c>
      <c r="K1337" s="8">
        <v>45077</v>
      </c>
    </row>
    <row r="1338" spans="1:11" s="42" customFormat="1" ht="28.5" x14ac:dyDescent="0.25">
      <c r="A1338" s="7">
        <v>58</v>
      </c>
      <c r="B1338" s="8">
        <v>45077</v>
      </c>
      <c r="C1338" s="46"/>
      <c r="D1338" s="9" t="s">
        <v>695</v>
      </c>
      <c r="E1338" s="57" t="s">
        <v>1120</v>
      </c>
      <c r="F1338" s="9" t="s">
        <v>352</v>
      </c>
      <c r="G1338" s="54">
        <v>56813</v>
      </c>
      <c r="H1338" s="54">
        <v>0</v>
      </c>
      <c r="I1338" s="54">
        <f t="shared" si="67"/>
        <v>56813</v>
      </c>
      <c r="J1338" s="58" t="e">
        <f>+#REF!+#REF!+#REF!+#REF!</f>
        <v>#REF!</v>
      </c>
      <c r="K1338" s="8">
        <v>45077</v>
      </c>
    </row>
    <row r="1339" spans="1:11" s="42" customFormat="1" ht="28.5" x14ac:dyDescent="0.25">
      <c r="A1339" s="7">
        <v>59</v>
      </c>
      <c r="B1339" s="8">
        <v>45077</v>
      </c>
      <c r="C1339" s="46"/>
      <c r="D1339" s="9" t="s">
        <v>695</v>
      </c>
      <c r="E1339" s="57" t="s">
        <v>1121</v>
      </c>
      <c r="F1339" s="9" t="s">
        <v>352</v>
      </c>
      <c r="G1339" s="54">
        <v>33588</v>
      </c>
      <c r="H1339" s="54">
        <v>0</v>
      </c>
      <c r="I1339" s="54">
        <f t="shared" si="67"/>
        <v>33588</v>
      </c>
      <c r="J1339" s="58" t="e">
        <f>+#REF!+#REF!+#REF!+#REF!</f>
        <v>#REF!</v>
      </c>
      <c r="K1339" s="8">
        <v>45077</v>
      </c>
    </row>
    <row r="1340" spans="1:11" s="42" customFormat="1" ht="28.5" x14ac:dyDescent="0.25">
      <c r="A1340" s="7">
        <v>60</v>
      </c>
      <c r="B1340" s="8">
        <v>45107</v>
      </c>
      <c r="C1340" s="46"/>
      <c r="D1340" s="9" t="s">
        <v>695</v>
      </c>
      <c r="E1340" s="57" t="s">
        <v>1120</v>
      </c>
      <c r="F1340" s="9" t="s">
        <v>352</v>
      </c>
      <c r="G1340" s="54">
        <v>54849</v>
      </c>
      <c r="H1340" s="54">
        <v>0</v>
      </c>
      <c r="I1340" s="54">
        <f t="shared" si="67"/>
        <v>54849</v>
      </c>
      <c r="J1340" s="58" t="e">
        <f>+#REF!+#REF!+#REF!+#REF!</f>
        <v>#REF!</v>
      </c>
      <c r="K1340" s="8">
        <v>45107</v>
      </c>
    </row>
    <row r="1341" spans="1:11" s="42" customFormat="1" ht="28.5" x14ac:dyDescent="0.25">
      <c r="A1341" s="7">
        <v>61</v>
      </c>
      <c r="B1341" s="8">
        <v>45107</v>
      </c>
      <c r="C1341" s="46"/>
      <c r="D1341" s="9" t="s">
        <v>695</v>
      </c>
      <c r="E1341" s="57" t="s">
        <v>1121</v>
      </c>
      <c r="F1341" s="9" t="s">
        <v>352</v>
      </c>
      <c r="G1341" s="54">
        <v>29725</v>
      </c>
      <c r="H1341" s="54">
        <v>0</v>
      </c>
      <c r="I1341" s="54">
        <f t="shared" si="67"/>
        <v>29725</v>
      </c>
      <c r="J1341" s="58" t="e">
        <f>+#REF!+#REF!+#REF!+#REF!</f>
        <v>#REF!</v>
      </c>
      <c r="K1341" s="8">
        <v>45107</v>
      </c>
    </row>
    <row r="1342" spans="1:11" s="42" customFormat="1" ht="42.75" x14ac:dyDescent="0.25">
      <c r="A1342" s="7">
        <v>62</v>
      </c>
      <c r="B1342" s="8">
        <v>45107</v>
      </c>
      <c r="C1342" s="46"/>
      <c r="D1342" s="9" t="s">
        <v>695</v>
      </c>
      <c r="E1342" s="57" t="s">
        <v>404</v>
      </c>
      <c r="F1342" s="9" t="s">
        <v>352</v>
      </c>
      <c r="G1342" s="54">
        <v>485953</v>
      </c>
      <c r="H1342" s="54">
        <v>0</v>
      </c>
      <c r="I1342" s="54">
        <f t="shared" si="67"/>
        <v>485953</v>
      </c>
      <c r="J1342" s="58" t="e">
        <f>+#REF!+#REF!+#REF!+#REF!</f>
        <v>#REF!</v>
      </c>
      <c r="K1342" s="8">
        <v>45107</v>
      </c>
    </row>
    <row r="1343" spans="1:11" s="42" customFormat="1" ht="28.5" x14ac:dyDescent="0.25">
      <c r="A1343" s="7">
        <v>63</v>
      </c>
      <c r="B1343" s="8">
        <v>45107</v>
      </c>
      <c r="C1343" s="46"/>
      <c r="D1343" s="9" t="s">
        <v>695</v>
      </c>
      <c r="E1343" s="57" t="s">
        <v>547</v>
      </c>
      <c r="F1343" s="9" t="s">
        <v>352</v>
      </c>
      <c r="G1343" s="54">
        <v>108037</v>
      </c>
      <c r="H1343" s="54">
        <v>0</v>
      </c>
      <c r="I1343" s="54">
        <f t="shared" si="67"/>
        <v>108037</v>
      </c>
      <c r="J1343" s="58" t="e">
        <f>+#REF!+#REF!+#REF!+#REF!</f>
        <v>#REF!</v>
      </c>
      <c r="K1343" s="8">
        <v>45107</v>
      </c>
    </row>
    <row r="1344" spans="1:11" s="42" customFormat="1" ht="42.75" x14ac:dyDescent="0.25">
      <c r="A1344" s="7">
        <v>64</v>
      </c>
      <c r="B1344" s="8">
        <v>45138</v>
      </c>
      <c r="C1344" s="46"/>
      <c r="D1344" s="9" t="s">
        <v>695</v>
      </c>
      <c r="E1344" s="57" t="s">
        <v>404</v>
      </c>
      <c r="F1344" s="9" t="s">
        <v>352</v>
      </c>
      <c r="G1344" s="54">
        <v>466212</v>
      </c>
      <c r="H1344" s="54">
        <v>0</v>
      </c>
      <c r="I1344" s="54">
        <f t="shared" si="67"/>
        <v>466212</v>
      </c>
      <c r="J1344" s="58" t="e">
        <f>+#REF!+#REF!+#REF!+#REF!</f>
        <v>#REF!</v>
      </c>
      <c r="K1344" s="8">
        <v>45138</v>
      </c>
    </row>
    <row r="1345" spans="1:11" s="42" customFormat="1" ht="28.5" x14ac:dyDescent="0.25">
      <c r="A1345" s="7">
        <v>65</v>
      </c>
      <c r="B1345" s="8">
        <v>45138</v>
      </c>
      <c r="C1345" s="46"/>
      <c r="D1345" s="9" t="s">
        <v>695</v>
      </c>
      <c r="E1345" s="57" t="s">
        <v>547</v>
      </c>
      <c r="F1345" s="9" t="s">
        <v>352</v>
      </c>
      <c r="G1345" s="54">
        <v>109019</v>
      </c>
      <c r="H1345" s="54">
        <v>0</v>
      </c>
      <c r="I1345" s="54">
        <f t="shared" si="67"/>
        <v>109019</v>
      </c>
      <c r="J1345" s="58" t="e">
        <f>+#REF!+#REF!+#REF!+#REF!</f>
        <v>#REF!</v>
      </c>
      <c r="K1345" s="8">
        <v>45138</v>
      </c>
    </row>
    <row r="1346" spans="1:11" s="42" customFormat="1" ht="42.75" x14ac:dyDescent="0.25">
      <c r="A1346" s="7">
        <v>66</v>
      </c>
      <c r="B1346" s="8">
        <v>45169</v>
      </c>
      <c r="C1346" s="46"/>
      <c r="D1346" s="9" t="s">
        <v>695</v>
      </c>
      <c r="E1346" s="57" t="s">
        <v>404</v>
      </c>
      <c r="F1346" s="9" t="s">
        <v>352</v>
      </c>
      <c r="G1346" s="54">
        <v>108273</v>
      </c>
      <c r="H1346" s="54">
        <v>0</v>
      </c>
      <c r="I1346" s="54">
        <f t="shared" si="67"/>
        <v>108273</v>
      </c>
      <c r="J1346" s="58" t="e">
        <f>+#REF!+#REF!+#REF!+#REF!</f>
        <v>#REF!</v>
      </c>
      <c r="K1346" s="8">
        <v>45169</v>
      </c>
    </row>
    <row r="1347" spans="1:11" s="42" customFormat="1" ht="28.5" x14ac:dyDescent="0.25">
      <c r="A1347" s="7">
        <v>67</v>
      </c>
      <c r="B1347" s="8">
        <v>45169</v>
      </c>
      <c r="C1347" s="46"/>
      <c r="D1347" s="9" t="s">
        <v>695</v>
      </c>
      <c r="E1347" s="57" t="s">
        <v>547</v>
      </c>
      <c r="F1347" s="9" t="s">
        <v>352</v>
      </c>
      <c r="G1347" s="54">
        <v>464446</v>
      </c>
      <c r="H1347" s="54">
        <v>0</v>
      </c>
      <c r="I1347" s="54">
        <f t="shared" si="67"/>
        <v>464446</v>
      </c>
      <c r="J1347" s="58" t="e">
        <f>+#REF!+#REF!+#REF!+#REF!</f>
        <v>#REF!</v>
      </c>
      <c r="K1347" s="8">
        <v>45169</v>
      </c>
    </row>
    <row r="1348" spans="1:11" s="42" customFormat="1" ht="42.75" x14ac:dyDescent="0.25">
      <c r="A1348" s="7">
        <v>68</v>
      </c>
      <c r="B1348" s="8">
        <v>45199</v>
      </c>
      <c r="C1348" s="46"/>
      <c r="D1348" s="9" t="s">
        <v>695</v>
      </c>
      <c r="E1348" s="57" t="s">
        <v>404</v>
      </c>
      <c r="F1348" s="9" t="s">
        <v>352</v>
      </c>
      <c r="G1348" s="54">
        <v>452088</v>
      </c>
      <c r="H1348" s="54">
        <v>0</v>
      </c>
      <c r="I1348" s="54">
        <f t="shared" si="67"/>
        <v>452088</v>
      </c>
      <c r="J1348" s="58" t="e">
        <f>+#REF!+#REF!+#REF!+#REF!</f>
        <v>#REF!</v>
      </c>
      <c r="K1348" s="8">
        <v>45199</v>
      </c>
    </row>
    <row r="1349" spans="1:11" s="42" customFormat="1" ht="28.5" x14ac:dyDescent="0.25">
      <c r="A1349" s="7">
        <v>69</v>
      </c>
      <c r="B1349" s="8">
        <v>45199</v>
      </c>
      <c r="C1349" s="46"/>
      <c r="D1349" s="9" t="s">
        <v>695</v>
      </c>
      <c r="E1349" s="57" t="s">
        <v>547</v>
      </c>
      <c r="F1349" s="9" t="s">
        <v>352</v>
      </c>
      <c r="G1349" s="54">
        <v>104581</v>
      </c>
      <c r="H1349" s="54">
        <v>0</v>
      </c>
      <c r="I1349" s="54">
        <f t="shared" si="67"/>
        <v>104581</v>
      </c>
      <c r="J1349" s="58" t="e">
        <f>+#REF!+#REF!+#REF!+#REF!</f>
        <v>#REF!</v>
      </c>
      <c r="K1349" s="8">
        <v>45199</v>
      </c>
    </row>
    <row r="1350" spans="1:11" s="42" customFormat="1" ht="42.75" x14ac:dyDescent="0.25">
      <c r="A1350" s="7">
        <v>70</v>
      </c>
      <c r="B1350" s="8">
        <v>45230</v>
      </c>
      <c r="C1350" s="46"/>
      <c r="D1350" s="9" t="s">
        <v>695</v>
      </c>
      <c r="E1350" s="57" t="s">
        <v>404</v>
      </c>
      <c r="F1350" s="9" t="s">
        <v>352</v>
      </c>
      <c r="G1350" s="54">
        <v>433555</v>
      </c>
      <c r="H1350" s="54">
        <v>0</v>
      </c>
      <c r="I1350" s="54">
        <f t="shared" si="67"/>
        <v>433555</v>
      </c>
      <c r="J1350" s="58" t="e">
        <f>+#REF!+#REF!+#REF!+#REF!</f>
        <v>#REF!</v>
      </c>
      <c r="K1350" s="8">
        <v>45229</v>
      </c>
    </row>
    <row r="1351" spans="1:11" s="42" customFormat="1" ht="28.5" x14ac:dyDescent="0.25">
      <c r="A1351" s="7">
        <v>71</v>
      </c>
      <c r="B1351" s="8">
        <v>45230</v>
      </c>
      <c r="C1351" s="46"/>
      <c r="D1351" s="9" t="s">
        <v>695</v>
      </c>
      <c r="E1351" s="57" t="s">
        <v>547</v>
      </c>
      <c r="F1351" s="9" t="s">
        <v>352</v>
      </c>
      <c r="G1351" s="54">
        <v>102497</v>
      </c>
      <c r="H1351" s="54">
        <v>0</v>
      </c>
      <c r="I1351" s="54">
        <f t="shared" si="67"/>
        <v>102497</v>
      </c>
      <c r="J1351" s="58" t="e">
        <f>+#REF!+#REF!+#REF!+#REF!</f>
        <v>#REF!</v>
      </c>
      <c r="K1351" s="8">
        <v>45229</v>
      </c>
    </row>
    <row r="1352" spans="1:11" s="42" customFormat="1" ht="42.75" x14ac:dyDescent="0.25">
      <c r="A1352" s="7">
        <v>72</v>
      </c>
      <c r="B1352" s="8">
        <v>45260</v>
      </c>
      <c r="C1352" s="46"/>
      <c r="D1352" s="9" t="s">
        <v>695</v>
      </c>
      <c r="E1352" s="57" t="s">
        <v>404</v>
      </c>
      <c r="F1352" s="9" t="s">
        <v>352</v>
      </c>
      <c r="G1352" s="54">
        <v>423187</v>
      </c>
      <c r="H1352" s="54">
        <v>0</v>
      </c>
      <c r="I1352" s="54">
        <f t="shared" si="67"/>
        <v>423187</v>
      </c>
      <c r="J1352" s="58" t="e">
        <f>+#REF!+#REF!+#REF!+#REF!</f>
        <v>#REF!</v>
      </c>
      <c r="K1352" s="8">
        <v>45260</v>
      </c>
    </row>
    <row r="1353" spans="1:11" s="42" customFormat="1" ht="28.5" x14ac:dyDescent="0.25">
      <c r="A1353" s="7">
        <v>73</v>
      </c>
      <c r="B1353" s="8">
        <v>45260</v>
      </c>
      <c r="C1353" s="46"/>
      <c r="D1353" s="9" t="s">
        <v>695</v>
      </c>
      <c r="E1353" s="57" t="s">
        <v>547</v>
      </c>
      <c r="F1353" s="9" t="s">
        <v>352</v>
      </c>
      <c r="G1353" s="54">
        <v>99192</v>
      </c>
      <c r="H1353" s="54">
        <v>0</v>
      </c>
      <c r="I1353" s="54">
        <f t="shared" si="67"/>
        <v>99192</v>
      </c>
      <c r="J1353" s="58" t="e">
        <f>+#REF!+#REF!+#REF!+#REF!</f>
        <v>#REF!</v>
      </c>
      <c r="K1353" s="8">
        <v>45260</v>
      </c>
    </row>
    <row r="1354" spans="1:11" s="42" customFormat="1" ht="42.75" x14ac:dyDescent="0.25">
      <c r="A1354" s="7">
        <v>74</v>
      </c>
      <c r="B1354" s="8">
        <v>45291</v>
      </c>
      <c r="C1354" s="46"/>
      <c r="D1354" s="9" t="s">
        <v>695</v>
      </c>
      <c r="E1354" s="57" t="s">
        <v>404</v>
      </c>
      <c r="F1354" s="9" t="s">
        <v>352</v>
      </c>
      <c r="G1354" s="54">
        <v>438190</v>
      </c>
      <c r="H1354" s="54">
        <v>0</v>
      </c>
      <c r="I1354" s="54">
        <f t="shared" si="67"/>
        <v>438190</v>
      </c>
      <c r="J1354" s="58" t="e">
        <f>+#REF!+#REF!+#REF!+#REF!</f>
        <v>#REF!</v>
      </c>
      <c r="K1354" s="8"/>
    </row>
    <row r="1355" spans="1:11" s="42" customFormat="1" ht="28.5" x14ac:dyDescent="0.25">
      <c r="A1355" s="7">
        <v>75</v>
      </c>
      <c r="B1355" s="8">
        <v>45291</v>
      </c>
      <c r="C1355" s="46"/>
      <c r="D1355" s="9" t="s">
        <v>695</v>
      </c>
      <c r="E1355" s="57" t="s">
        <v>547</v>
      </c>
      <c r="F1355" s="9" t="s">
        <v>352</v>
      </c>
      <c r="G1355" s="54">
        <v>102456</v>
      </c>
      <c r="H1355" s="54">
        <v>0</v>
      </c>
      <c r="I1355" s="54">
        <f t="shared" si="67"/>
        <v>102456</v>
      </c>
      <c r="J1355" s="58">
        <v>0</v>
      </c>
      <c r="K1355" s="8"/>
    </row>
    <row r="1356" spans="1:11" s="42" customFormat="1" ht="42.75" x14ac:dyDescent="0.25">
      <c r="A1356" s="7">
        <v>76</v>
      </c>
      <c r="B1356" s="8">
        <v>45322</v>
      </c>
      <c r="C1356" s="46"/>
      <c r="D1356" s="9" t="s">
        <v>695</v>
      </c>
      <c r="E1356" s="57" t="s">
        <v>404</v>
      </c>
      <c r="F1356" s="9" t="s">
        <v>352</v>
      </c>
      <c r="G1356" s="54">
        <v>408187</v>
      </c>
      <c r="H1356" s="54">
        <v>0</v>
      </c>
      <c r="I1356" s="54">
        <f t="shared" si="67"/>
        <v>408187</v>
      </c>
      <c r="J1356" s="58"/>
      <c r="K1356" s="8"/>
    </row>
    <row r="1357" spans="1:11" s="42" customFormat="1" ht="28.5" x14ac:dyDescent="0.25">
      <c r="A1357" s="7">
        <v>77</v>
      </c>
      <c r="B1357" s="8">
        <v>45322</v>
      </c>
      <c r="C1357" s="46"/>
      <c r="D1357" s="9" t="s">
        <v>695</v>
      </c>
      <c r="E1357" s="57" t="s">
        <v>547</v>
      </c>
      <c r="F1357" s="9" t="s">
        <v>352</v>
      </c>
      <c r="G1357" s="54">
        <v>99253</v>
      </c>
      <c r="H1357" s="54">
        <v>0</v>
      </c>
      <c r="I1357" s="54">
        <f t="shared" si="67"/>
        <v>99253</v>
      </c>
      <c r="J1357" s="58"/>
      <c r="K1357" s="8"/>
    </row>
    <row r="1358" spans="1:11" s="42" customFormat="1" ht="42.75" x14ac:dyDescent="0.25">
      <c r="A1358" s="7">
        <v>78</v>
      </c>
      <c r="B1358" s="8">
        <v>45351</v>
      </c>
      <c r="C1358" s="46"/>
      <c r="D1358" s="9" t="s">
        <v>695</v>
      </c>
      <c r="E1358" s="57" t="s">
        <v>404</v>
      </c>
      <c r="F1358" s="9" t="s">
        <v>352</v>
      </c>
      <c r="G1358" s="54">
        <v>383323</v>
      </c>
      <c r="H1358" s="54">
        <v>0</v>
      </c>
      <c r="I1358" s="54">
        <f t="shared" si="67"/>
        <v>383323</v>
      </c>
      <c r="J1358" s="58"/>
      <c r="K1358" s="8"/>
    </row>
    <row r="1359" spans="1:11" s="42" customFormat="1" ht="28.5" x14ac:dyDescent="0.25">
      <c r="A1359" s="7">
        <v>79</v>
      </c>
      <c r="B1359" s="8">
        <v>45351</v>
      </c>
      <c r="C1359" s="46"/>
      <c r="D1359" s="9" t="s">
        <v>695</v>
      </c>
      <c r="E1359" s="57" t="s">
        <v>547</v>
      </c>
      <c r="F1359" s="9" t="s">
        <v>352</v>
      </c>
      <c r="G1359" s="54">
        <v>92422</v>
      </c>
      <c r="H1359" s="54">
        <v>0</v>
      </c>
      <c r="I1359" s="54">
        <f t="shared" si="67"/>
        <v>92422</v>
      </c>
      <c r="J1359" s="58"/>
      <c r="K1359" s="8"/>
    </row>
    <row r="1360" spans="1:11" s="21" customFormat="1" ht="16.5" thickBot="1" x14ac:dyDescent="0.3">
      <c r="A1360" s="18"/>
      <c r="B1360" s="19"/>
      <c r="C1360" s="20"/>
      <c r="D1360" s="20"/>
      <c r="E1360" s="20"/>
      <c r="F1360" s="52" t="s">
        <v>699</v>
      </c>
      <c r="G1360" s="24">
        <f t="shared" ref="G1360:I1360" si="68">SUM(G1281:G1359)</f>
        <v>13052414</v>
      </c>
      <c r="H1360" s="24">
        <f t="shared" si="68"/>
        <v>0</v>
      </c>
      <c r="I1360" s="24">
        <f t="shared" si="68"/>
        <v>13052414</v>
      </c>
      <c r="J1360" s="24" t="e">
        <f t="shared" ref="J1360" si="69">SUM(J1281:J1355)</f>
        <v>#REF!</v>
      </c>
      <c r="K1360" s="58"/>
    </row>
    <row r="1361" spans="1:11" s="42" customFormat="1" ht="32.25" thickTop="1" x14ac:dyDescent="0.25">
      <c r="A1361" s="13"/>
      <c r="B1361" s="40"/>
      <c r="C1361" s="46"/>
      <c r="D1361" s="46"/>
      <c r="E1361" s="30" t="s">
        <v>696</v>
      </c>
      <c r="F1361" s="41"/>
      <c r="G1361" s="10"/>
      <c r="H1361" s="10"/>
      <c r="I1361" s="10"/>
      <c r="J1361" s="58" t="e">
        <f>+#REF!+#REF!+#REF!+#REF!</f>
        <v>#REF!</v>
      </c>
      <c r="K1361" s="58"/>
    </row>
    <row r="1362" spans="1:11" s="1" customFormat="1" ht="45" x14ac:dyDescent="0.2">
      <c r="A1362" s="7">
        <v>1</v>
      </c>
      <c r="B1362" s="8">
        <v>44557</v>
      </c>
      <c r="C1362" s="56"/>
      <c r="D1362" s="9" t="s">
        <v>616</v>
      </c>
      <c r="E1362" s="51" t="s">
        <v>696</v>
      </c>
      <c r="F1362" s="9" t="s">
        <v>352</v>
      </c>
      <c r="G1362" s="54">
        <v>678000</v>
      </c>
      <c r="H1362" s="54">
        <v>0</v>
      </c>
      <c r="I1362" s="54">
        <f t="shared" si="67"/>
        <v>678000</v>
      </c>
      <c r="J1362" s="58" t="e">
        <f>+#REF!+#REF!+#REF!+#REF!</f>
        <v>#REF!</v>
      </c>
      <c r="K1362" s="8">
        <v>44557</v>
      </c>
    </row>
    <row r="1363" spans="1:11" s="1" customFormat="1" ht="85.5" x14ac:dyDescent="0.2">
      <c r="A1363" s="7">
        <v>2</v>
      </c>
      <c r="B1363" s="8">
        <v>44557</v>
      </c>
      <c r="C1363" s="56"/>
      <c r="D1363" s="9" t="s">
        <v>616</v>
      </c>
      <c r="E1363" s="51" t="s">
        <v>1141</v>
      </c>
      <c r="F1363" s="9" t="s">
        <v>352</v>
      </c>
      <c r="G1363" s="54">
        <v>882500</v>
      </c>
      <c r="H1363" s="54">
        <v>0</v>
      </c>
      <c r="I1363" s="54">
        <f t="shared" si="67"/>
        <v>882500</v>
      </c>
      <c r="J1363" s="58" t="e">
        <f>+#REF!+#REF!+#REF!+#REF!</f>
        <v>#REF!</v>
      </c>
      <c r="K1363" s="8">
        <v>44557</v>
      </c>
    </row>
    <row r="1364" spans="1:11" s="1" customFormat="1" ht="45" x14ac:dyDescent="0.2">
      <c r="A1364" s="7">
        <v>3</v>
      </c>
      <c r="B1364" s="8">
        <v>44834</v>
      </c>
      <c r="C1364" s="56"/>
      <c r="D1364" s="9" t="s">
        <v>616</v>
      </c>
      <c r="E1364" s="51" t="s">
        <v>696</v>
      </c>
      <c r="F1364" s="9" t="s">
        <v>352</v>
      </c>
      <c r="G1364" s="54">
        <v>220400</v>
      </c>
      <c r="H1364" s="54">
        <v>0</v>
      </c>
      <c r="I1364" s="54">
        <f t="shared" si="67"/>
        <v>220400</v>
      </c>
      <c r="J1364" s="58" t="e">
        <f>+#REF!+#REF!+#REF!+#REF!</f>
        <v>#REF!</v>
      </c>
      <c r="K1364" s="8">
        <v>44834</v>
      </c>
    </row>
    <row r="1365" spans="1:11" s="1" customFormat="1" ht="45" x14ac:dyDescent="0.2">
      <c r="A1365" s="7">
        <v>4</v>
      </c>
      <c r="B1365" s="8">
        <v>44865</v>
      </c>
      <c r="C1365" s="56"/>
      <c r="D1365" s="9" t="s">
        <v>616</v>
      </c>
      <c r="E1365" s="51" t="s">
        <v>696</v>
      </c>
      <c r="F1365" s="9" t="s">
        <v>352</v>
      </c>
      <c r="G1365" s="54">
        <v>268900</v>
      </c>
      <c r="H1365" s="54">
        <v>0</v>
      </c>
      <c r="I1365" s="54">
        <f t="shared" si="67"/>
        <v>268900</v>
      </c>
      <c r="J1365" s="58" t="e">
        <f>+#REF!+#REF!+#REF!+#REF!</f>
        <v>#REF!</v>
      </c>
      <c r="K1365" s="8">
        <v>44865</v>
      </c>
    </row>
    <row r="1366" spans="1:11" s="21" customFormat="1" ht="16.5" thickBot="1" x14ac:dyDescent="0.3">
      <c r="A1366" s="18"/>
      <c r="B1366" s="19"/>
      <c r="C1366" s="20"/>
      <c r="D1366" s="20"/>
      <c r="E1366" s="20"/>
      <c r="F1366" s="52" t="s">
        <v>700</v>
      </c>
      <c r="G1366" s="24">
        <f t="shared" ref="G1366:I1366" si="70">SUM(G1361:G1365)</f>
        <v>2049800</v>
      </c>
      <c r="H1366" s="24">
        <f t="shared" si="70"/>
        <v>0</v>
      </c>
      <c r="I1366" s="24">
        <f t="shared" si="70"/>
        <v>2049800</v>
      </c>
      <c r="J1366" s="58" t="e">
        <f>+#REF!+#REF!+#REF!+#REF!</f>
        <v>#REF!</v>
      </c>
      <c r="K1366" s="58"/>
    </row>
    <row r="1367" spans="1:11" s="1" customFormat="1" ht="32.25" thickTop="1" x14ac:dyDescent="0.2">
      <c r="A1367" s="7"/>
      <c r="B1367" s="8"/>
      <c r="C1367" s="56"/>
      <c r="D1367" s="9"/>
      <c r="E1367" s="30" t="s">
        <v>1892</v>
      </c>
      <c r="F1367" s="9"/>
      <c r="G1367" s="54"/>
      <c r="H1367" s="54"/>
      <c r="I1367" s="54"/>
      <c r="J1367" s="58" t="e">
        <f>+#REF!+#REF!+#REF!+#REF!</f>
        <v>#REF!</v>
      </c>
      <c r="K1367" s="58"/>
    </row>
    <row r="1368" spans="1:11" s="1" customFormat="1" ht="71.25" x14ac:dyDescent="0.2">
      <c r="A1368" s="7">
        <v>1</v>
      </c>
      <c r="B1368" s="8">
        <v>45169</v>
      </c>
      <c r="C1368" s="56"/>
      <c r="D1368" s="9" t="s">
        <v>1893</v>
      </c>
      <c r="E1368" s="51" t="s">
        <v>1894</v>
      </c>
      <c r="F1368" s="9" t="s">
        <v>2044</v>
      </c>
      <c r="G1368" s="54">
        <v>1479197</v>
      </c>
      <c r="H1368" s="54">
        <v>0</v>
      </c>
      <c r="I1368" s="54">
        <f t="shared" ref="I1368:I1372" si="71">+G1368+H1368</f>
        <v>1479197</v>
      </c>
      <c r="J1368" s="58" t="e">
        <f>+#REF!+#REF!+#REF!+#REF!</f>
        <v>#REF!</v>
      </c>
      <c r="K1368" s="58"/>
    </row>
    <row r="1369" spans="1:11" s="1" customFormat="1" ht="85.5" x14ac:dyDescent="0.2">
      <c r="A1369" s="7">
        <v>2</v>
      </c>
      <c r="B1369" s="8">
        <v>45199</v>
      </c>
      <c r="C1369" s="56"/>
      <c r="D1369" s="9" t="s">
        <v>1893</v>
      </c>
      <c r="E1369" s="51" t="s">
        <v>1909</v>
      </c>
      <c r="F1369" s="9" t="s">
        <v>2044</v>
      </c>
      <c r="G1369" s="54">
        <v>1635003</v>
      </c>
      <c r="H1369" s="54">
        <v>0</v>
      </c>
      <c r="I1369" s="54">
        <f t="shared" si="71"/>
        <v>1635003</v>
      </c>
      <c r="J1369" s="58" t="e">
        <f>+#REF!+#REF!+#REF!+#REF!</f>
        <v>#REF!</v>
      </c>
      <c r="K1369" s="58"/>
    </row>
    <row r="1370" spans="1:11" s="1" customFormat="1" ht="71.25" x14ac:dyDescent="0.2">
      <c r="A1370" s="7">
        <v>3</v>
      </c>
      <c r="B1370" s="8">
        <v>45230</v>
      </c>
      <c r="C1370" s="56"/>
      <c r="D1370" s="9" t="s">
        <v>1893</v>
      </c>
      <c r="E1370" s="51" t="s">
        <v>2043</v>
      </c>
      <c r="F1370" s="9" t="s">
        <v>2044</v>
      </c>
      <c r="G1370" s="54">
        <v>1921343</v>
      </c>
      <c r="H1370" s="54">
        <v>0</v>
      </c>
      <c r="I1370" s="54">
        <f t="shared" si="71"/>
        <v>1921343</v>
      </c>
      <c r="J1370" s="58" t="e">
        <f>+#REF!+#REF!+#REF!+#REF!</f>
        <v>#REF!</v>
      </c>
      <c r="K1370" s="58"/>
    </row>
    <row r="1371" spans="1:11" s="1" customFormat="1" ht="60" x14ac:dyDescent="0.2">
      <c r="A1371" s="7">
        <v>4</v>
      </c>
      <c r="B1371" s="8">
        <v>45260</v>
      </c>
      <c r="C1371" s="56"/>
      <c r="D1371" s="9" t="s">
        <v>1893</v>
      </c>
      <c r="E1371" s="51" t="s">
        <v>2056</v>
      </c>
      <c r="F1371" s="9" t="s">
        <v>2044</v>
      </c>
      <c r="G1371" s="54">
        <v>1867079</v>
      </c>
      <c r="H1371" s="54">
        <v>0</v>
      </c>
      <c r="I1371" s="54">
        <f t="shared" si="71"/>
        <v>1867079</v>
      </c>
      <c r="J1371" s="58" t="e">
        <f>+#REF!+#REF!+#REF!+#REF!</f>
        <v>#REF!</v>
      </c>
      <c r="K1371" s="58"/>
    </row>
    <row r="1372" spans="1:11" s="1" customFormat="1" ht="71.25" x14ac:dyDescent="0.2">
      <c r="A1372" s="7">
        <v>5</v>
      </c>
      <c r="B1372" s="8">
        <v>45291</v>
      </c>
      <c r="C1372" s="56"/>
      <c r="D1372" s="9" t="s">
        <v>1893</v>
      </c>
      <c r="E1372" s="51" t="s">
        <v>2104</v>
      </c>
      <c r="F1372" s="9" t="s">
        <v>2044</v>
      </c>
      <c r="G1372" s="54">
        <v>572309</v>
      </c>
      <c r="H1372" s="54">
        <v>0</v>
      </c>
      <c r="I1372" s="54">
        <f t="shared" si="71"/>
        <v>572309</v>
      </c>
      <c r="J1372" s="58"/>
      <c r="K1372" s="58"/>
    </row>
    <row r="1373" spans="1:11" s="21" customFormat="1" ht="16.5" thickBot="1" x14ac:dyDescent="0.3">
      <c r="A1373" s="18"/>
      <c r="B1373" s="19"/>
      <c r="C1373" s="20"/>
      <c r="D1373" s="20"/>
      <c r="E1373" s="20"/>
      <c r="F1373" s="52" t="s">
        <v>1895</v>
      </c>
      <c r="G1373" s="24">
        <f t="shared" ref="G1373:I1373" si="72">SUM(G1367:G1372)</f>
        <v>7474931</v>
      </c>
      <c r="H1373" s="24">
        <f t="shared" si="72"/>
        <v>0</v>
      </c>
      <c r="I1373" s="24">
        <f t="shared" si="72"/>
        <v>7474931</v>
      </c>
      <c r="J1373" s="24" t="e">
        <f t="shared" ref="J1373" si="73">SUM(J1367:J1371)</f>
        <v>#REF!</v>
      </c>
      <c r="K1373" s="58"/>
    </row>
    <row r="1374" spans="1:11" s="1" customFormat="1" ht="16.5" thickTop="1" x14ac:dyDescent="0.25">
      <c r="A1374" s="23"/>
      <c r="B1374" s="49"/>
      <c r="C1374" s="50"/>
      <c r="D1374" s="50"/>
      <c r="F1374" s="42"/>
      <c r="G1374" s="39"/>
      <c r="H1374" s="39"/>
      <c r="I1374" s="39"/>
      <c r="J1374" s="58" t="e">
        <f>+#REF!+#REF!+#REF!+#REF!</f>
        <v>#REF!</v>
      </c>
      <c r="K1374" s="58"/>
    </row>
    <row r="1375" spans="1:11" s="1" customFormat="1" ht="16.5" thickBot="1" x14ac:dyDescent="0.3">
      <c r="A1375" s="34"/>
      <c r="B1375" s="35"/>
      <c r="C1375" s="36"/>
      <c r="D1375" s="36"/>
      <c r="E1375" s="37"/>
      <c r="F1375" s="53" t="s">
        <v>1722</v>
      </c>
      <c r="G1375" s="33">
        <f t="shared" ref="G1375:I1375" si="74">+G1279+G1360+G1366+G1373</f>
        <v>197505563.43000001</v>
      </c>
      <c r="H1375" s="33">
        <f t="shared" si="74"/>
        <v>24931716.760000002</v>
      </c>
      <c r="I1375" s="33">
        <f t="shared" si="74"/>
        <v>222437280.19</v>
      </c>
      <c r="J1375" s="58" t="e">
        <f>+#REF!+#REF!+#REF!+#REF!</f>
        <v>#REF!</v>
      </c>
      <c r="K1375" s="58"/>
    </row>
    <row r="1376" spans="1:11" s="1" customFormat="1" ht="16.5" thickTop="1" x14ac:dyDescent="0.25">
      <c r="A1376" s="23"/>
      <c r="B1376" s="49"/>
      <c r="C1376" s="50"/>
      <c r="D1376" s="50"/>
      <c r="F1376" s="42"/>
      <c r="G1376" s="39"/>
      <c r="H1376" s="39"/>
      <c r="I1376" s="39"/>
      <c r="J1376" s="45"/>
      <c r="K1376" s="45"/>
    </row>
  </sheetData>
  <autoFilter ref="A1:XEY1375" xr:uid="{00000000-0001-0000-0000-000000000000}"/>
  <pageMargins left="0" right="0" top="0.55118110236220474" bottom="0.55118110236220474" header="0.31496062992125984" footer="0.31496062992125984"/>
  <pageSetup paperSize="9" scale="70" orientation="portrait" r:id="rId1"/>
  <headerFooter differentFirst="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 List</vt:lpstr>
      <vt:lpstr>'Final List'!Print_Area</vt:lpstr>
      <vt:lpstr>'Final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2024-05-28T06:10:48Z</cp:lastPrinted>
  <dcterms:created xsi:type="dcterms:W3CDTF">2015-06-05T18:17:20Z</dcterms:created>
  <dcterms:modified xsi:type="dcterms:W3CDTF">2024-07-03T06:15:16Z</dcterms:modified>
</cp:coreProperties>
</file>